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V:\TIS teenused\Tervisekassa leping ja aruandlus\Aruandlus\2025\"/>
    </mc:Choice>
  </mc:AlternateContent>
  <xr:revisionPtr revIDLastSave="0" documentId="8_{FEF2A687-4632-4F09-B3FA-1A83A464564D}" xr6:coauthVersionLast="47" xr6:coauthVersionMax="47" xr10:uidLastSave="{00000000-0000-0000-0000-000000000000}"/>
  <bookViews>
    <workbookView xWindow="-108" yWindow="-108" windowWidth="23256" windowHeight="13896" activeTab="1" xr2:uid="{7C17DCAC-EDD9-449B-9781-40EFCC9CE39F}"/>
  </bookViews>
  <sheets>
    <sheet name="LISA 4" sheetId="1" r:id="rId1"/>
    <sheet name="LISA 2" sheetId="2" r:id="rId2"/>
  </sheets>
  <definedNames>
    <definedName name="_xlnm._FilterDatabase" localSheetId="1" hidden="1">'LISA 2'!$A$3:$O$35</definedName>
    <definedName name="_xlnm._FilterDatabase" localSheetId="0" hidden="1">'LISA 4'!$A$3:$O$23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35" i="2" l="1"/>
  <c r="I4" i="1"/>
  <c r="R19" i="1"/>
  <c r="O5" i="1"/>
  <c r="J18" i="1"/>
  <c r="J22" i="1" s="1"/>
  <c r="K18" i="1"/>
  <c r="K22" i="1" s="1"/>
  <c r="J6" i="1"/>
  <c r="K6" i="1"/>
  <c r="I6" i="1"/>
  <c r="R6" i="1" s="1"/>
  <c r="H22" i="1"/>
  <c r="H21" i="1"/>
  <c r="I20" i="1"/>
  <c r="R20" i="1" s="1"/>
  <c r="H20" i="1"/>
  <c r="J20" i="1"/>
  <c r="K20" i="1"/>
  <c r="H34" i="2"/>
  <c r="I32" i="2"/>
  <c r="R32" i="2" s="1"/>
  <c r="I26" i="2"/>
  <c r="I16" i="2"/>
  <c r="I11" i="2"/>
  <c r="I7" i="2"/>
  <c r="I4" i="2"/>
  <c r="J32" i="2"/>
  <c r="K32" i="2"/>
  <c r="H32" i="2"/>
  <c r="I34" i="2" l="1"/>
  <c r="O34" i="2" s="1"/>
  <c r="O32" i="2"/>
  <c r="R34" i="2"/>
  <c r="I33" i="2"/>
  <c r="O6" i="1"/>
  <c r="O20" i="1"/>
  <c r="R33" i="2" l="1"/>
  <c r="O33" i="2"/>
  <c r="L12" i="2"/>
  <c r="R6" i="2" l="1"/>
  <c r="N5" i="2"/>
  <c r="N6" i="2"/>
  <c r="N7" i="2"/>
  <c r="N8" i="2"/>
  <c r="N9" i="2"/>
  <c r="N10" i="2"/>
  <c r="N11" i="2"/>
  <c r="N12" i="2"/>
  <c r="N13" i="2"/>
  <c r="N14" i="2"/>
  <c r="N15" i="2"/>
  <c r="N16" i="2"/>
  <c r="N17" i="2"/>
  <c r="N18" i="2"/>
  <c r="N19" i="2"/>
  <c r="N20" i="2"/>
  <c r="N21" i="2"/>
  <c r="N22" i="2"/>
  <c r="N23" i="2"/>
  <c r="N24" i="2"/>
  <c r="N25" i="2"/>
  <c r="N26" i="2"/>
  <c r="N27" i="2"/>
  <c r="N28" i="2"/>
  <c r="N29" i="2"/>
  <c r="N30" i="2"/>
  <c r="N31" i="2"/>
  <c r="N34" i="2"/>
  <c r="J4" i="2"/>
  <c r="K4" i="2"/>
  <c r="R4" i="2"/>
  <c r="O6" i="2"/>
  <c r="P6" i="2"/>
  <c r="Q6" i="2"/>
  <c r="L6" i="2"/>
  <c r="L5" i="2"/>
  <c r="L4" i="2" l="1"/>
  <c r="M6" i="2"/>
  <c r="H14" i="2"/>
  <c r="H12" i="2"/>
  <c r="M4" i="2" l="1"/>
  <c r="H24" i="2"/>
  <c r="H13" i="2"/>
  <c r="H30" i="2" l="1"/>
  <c r="H28" i="2"/>
  <c r="H26" i="2"/>
  <c r="H16" i="2"/>
  <c r="H11" i="2"/>
  <c r="H7" i="2"/>
  <c r="H4" i="2"/>
  <c r="G23" i="1"/>
  <c r="N22" i="1"/>
  <c r="N20" i="1"/>
  <c r="N6" i="1"/>
  <c r="N5" i="1"/>
  <c r="H18" i="1" l="1"/>
  <c r="H16" i="1"/>
  <c r="H6" i="1"/>
  <c r="N21" i="1" l="1"/>
  <c r="C17" i="2"/>
  <c r="C18" i="2"/>
  <c r="C19" i="2"/>
  <c r="C20" i="2"/>
  <c r="C21" i="2"/>
  <c r="C22" i="2"/>
  <c r="C23" i="2"/>
  <c r="C24" i="2"/>
  <c r="C25" i="2"/>
  <c r="D16" i="2" l="1"/>
  <c r="E16" i="2"/>
  <c r="F16" i="2"/>
  <c r="G16" i="2"/>
  <c r="J16" i="2"/>
  <c r="K16" i="2"/>
  <c r="C16" i="2"/>
  <c r="J11" i="2"/>
  <c r="K11" i="2"/>
  <c r="G11" i="2"/>
  <c r="D11" i="2"/>
  <c r="D34" i="2" s="1"/>
  <c r="J7" i="2"/>
  <c r="K7" i="2"/>
  <c r="D7" i="2"/>
  <c r="E7" i="2"/>
  <c r="F7" i="2"/>
  <c r="G7" i="2"/>
  <c r="R29" i="2"/>
  <c r="Q29" i="2"/>
  <c r="P29" i="2"/>
  <c r="O29" i="2"/>
  <c r="L29" i="2"/>
  <c r="L28" i="2" s="1"/>
  <c r="C29" i="2"/>
  <c r="C28" i="2" s="1"/>
  <c r="K28" i="2"/>
  <c r="J28" i="2"/>
  <c r="I28" i="2"/>
  <c r="O28" i="2" s="1"/>
  <c r="G28" i="2"/>
  <c r="F28" i="2"/>
  <c r="E28" i="2"/>
  <c r="D28" i="2"/>
  <c r="R27" i="2"/>
  <c r="Q27" i="2"/>
  <c r="P27" i="2"/>
  <c r="O27" i="2"/>
  <c r="L27" i="2"/>
  <c r="L26" i="2" s="1"/>
  <c r="C27" i="2"/>
  <c r="K26" i="2"/>
  <c r="J26" i="2"/>
  <c r="O26" i="2"/>
  <c r="G26" i="2"/>
  <c r="F26" i="2"/>
  <c r="P26" i="2" s="1"/>
  <c r="E26" i="2"/>
  <c r="D26" i="2"/>
  <c r="R17" i="2"/>
  <c r="Q17" i="2"/>
  <c r="P17" i="2"/>
  <c r="O17" i="2"/>
  <c r="L17" i="2"/>
  <c r="R21" i="2"/>
  <c r="Q21" i="2"/>
  <c r="P21" i="2"/>
  <c r="O21" i="2"/>
  <c r="L21" i="2"/>
  <c r="R20" i="2"/>
  <c r="Q20" i="2"/>
  <c r="P20" i="2"/>
  <c r="O20" i="2"/>
  <c r="L20" i="2"/>
  <c r="R19" i="2"/>
  <c r="Q19" i="2"/>
  <c r="P19" i="2"/>
  <c r="O19" i="2"/>
  <c r="L19" i="2"/>
  <c r="R18" i="2"/>
  <c r="Q18" i="2"/>
  <c r="P18" i="2"/>
  <c r="O18" i="2"/>
  <c r="L18" i="2"/>
  <c r="R23" i="2"/>
  <c r="Q23" i="2"/>
  <c r="P23" i="2"/>
  <c r="O23" i="2"/>
  <c r="L23" i="2"/>
  <c r="R22" i="2"/>
  <c r="Q22" i="2"/>
  <c r="P22" i="2"/>
  <c r="O22" i="2"/>
  <c r="L22" i="2"/>
  <c r="M22" i="2" s="1"/>
  <c r="R24" i="2"/>
  <c r="Q24" i="2"/>
  <c r="P24" i="2"/>
  <c r="O24" i="2"/>
  <c r="L24" i="2"/>
  <c r="R9" i="2"/>
  <c r="Q9" i="2"/>
  <c r="P9" i="2"/>
  <c r="O9" i="2"/>
  <c r="L9" i="2"/>
  <c r="L32" i="2" s="1"/>
  <c r="C9" i="2"/>
  <c r="C32" i="2" s="1"/>
  <c r="R8" i="2"/>
  <c r="Q8" i="2"/>
  <c r="P8" i="2"/>
  <c r="O8" i="2"/>
  <c r="L8" i="2"/>
  <c r="C8" i="2"/>
  <c r="C7" i="2" s="1"/>
  <c r="R10" i="2"/>
  <c r="Q10" i="2"/>
  <c r="P10" i="2"/>
  <c r="O10" i="2"/>
  <c r="L10" i="2"/>
  <c r="C10" i="2"/>
  <c r="G32" i="2"/>
  <c r="F32" i="2"/>
  <c r="E32" i="2"/>
  <c r="D32" i="2"/>
  <c r="N32" i="2" s="1"/>
  <c r="R31" i="2"/>
  <c r="Q31" i="2"/>
  <c r="P31" i="2"/>
  <c r="O31" i="2"/>
  <c r="L31" i="2"/>
  <c r="L30" i="2" s="1"/>
  <c r="C31" i="2"/>
  <c r="K30" i="2"/>
  <c r="J30" i="2"/>
  <c r="I30" i="2"/>
  <c r="G30" i="2"/>
  <c r="F30" i="2"/>
  <c r="E30" i="2"/>
  <c r="D30" i="2"/>
  <c r="R25" i="2"/>
  <c r="Q25" i="2"/>
  <c r="P25" i="2"/>
  <c r="O25" i="2"/>
  <c r="L25" i="2"/>
  <c r="R15" i="2"/>
  <c r="Q15" i="2"/>
  <c r="P15" i="2"/>
  <c r="O15" i="2"/>
  <c r="L15" i="2"/>
  <c r="C15" i="2"/>
  <c r="R14" i="2"/>
  <c r="Q14" i="2"/>
  <c r="P14" i="2"/>
  <c r="O14" i="2"/>
  <c r="L14" i="2"/>
  <c r="C14" i="2"/>
  <c r="R13" i="2"/>
  <c r="Q13" i="2"/>
  <c r="P13" i="2"/>
  <c r="O13" i="2"/>
  <c r="L13" i="2"/>
  <c r="C13" i="2"/>
  <c r="R12" i="2"/>
  <c r="Q12" i="2"/>
  <c r="P12" i="2"/>
  <c r="O12" i="2"/>
  <c r="C12" i="2"/>
  <c r="F11" i="2"/>
  <c r="E11" i="2"/>
  <c r="R5" i="2"/>
  <c r="Q5" i="2"/>
  <c r="P5" i="2"/>
  <c r="O5" i="2"/>
  <c r="C5" i="2"/>
  <c r="C4" i="2" s="1"/>
  <c r="G4" i="2"/>
  <c r="F4" i="2"/>
  <c r="E4" i="2"/>
  <c r="D4" i="2"/>
  <c r="N4" i="2" s="1"/>
  <c r="E20" i="1"/>
  <c r="F20" i="1"/>
  <c r="G20" i="1"/>
  <c r="D20" i="1"/>
  <c r="C19" i="1"/>
  <c r="C18" i="1" s="1"/>
  <c r="D18" i="1"/>
  <c r="E18" i="1"/>
  <c r="F18" i="1"/>
  <c r="G18" i="1"/>
  <c r="D16" i="1"/>
  <c r="E16" i="1"/>
  <c r="F16" i="1"/>
  <c r="G16" i="1"/>
  <c r="C17" i="1"/>
  <c r="C16" i="1" s="1"/>
  <c r="D6" i="1"/>
  <c r="E6" i="1"/>
  <c r="F6" i="1"/>
  <c r="G6" i="1"/>
  <c r="D4" i="1"/>
  <c r="E4" i="1"/>
  <c r="F4" i="1"/>
  <c r="G4" i="1"/>
  <c r="C15" i="1"/>
  <c r="C14" i="1"/>
  <c r="C13" i="1"/>
  <c r="C12" i="1"/>
  <c r="C11" i="1"/>
  <c r="C10" i="1"/>
  <c r="C9" i="1"/>
  <c r="C8" i="1"/>
  <c r="C7" i="1"/>
  <c r="R9" i="1"/>
  <c r="Q9" i="1"/>
  <c r="P9" i="1"/>
  <c r="O9" i="1"/>
  <c r="N9" i="1"/>
  <c r="L9" i="1"/>
  <c r="R8" i="1"/>
  <c r="Q8" i="1"/>
  <c r="P8" i="1"/>
  <c r="O8" i="1"/>
  <c r="N8" i="1"/>
  <c r="L8" i="1"/>
  <c r="R7" i="1"/>
  <c r="Q7" i="1"/>
  <c r="P7" i="1"/>
  <c r="O7" i="1"/>
  <c r="N7" i="1"/>
  <c r="L7" i="1"/>
  <c r="R12" i="1"/>
  <c r="Q12" i="1"/>
  <c r="P12" i="1"/>
  <c r="O12" i="1"/>
  <c r="N12" i="1"/>
  <c r="L12" i="1"/>
  <c r="R11" i="1"/>
  <c r="Q11" i="1"/>
  <c r="P11" i="1"/>
  <c r="O11" i="1"/>
  <c r="N11" i="1"/>
  <c r="L11" i="1"/>
  <c r="R10" i="1"/>
  <c r="Q10" i="1"/>
  <c r="P10" i="1"/>
  <c r="O10" i="1"/>
  <c r="N10" i="1"/>
  <c r="L10" i="1"/>
  <c r="C5" i="1"/>
  <c r="C4" i="1" s="1"/>
  <c r="M28" i="2" l="1"/>
  <c r="E34" i="2"/>
  <c r="P28" i="2"/>
  <c r="L7" i="2"/>
  <c r="L11" i="2"/>
  <c r="L16" i="2"/>
  <c r="M16" i="2" s="1"/>
  <c r="M27" i="2"/>
  <c r="C11" i="2"/>
  <c r="G34" i="2"/>
  <c r="M7" i="1"/>
  <c r="D22" i="1"/>
  <c r="C20" i="1"/>
  <c r="F22" i="1"/>
  <c r="G22" i="1"/>
  <c r="E22" i="1"/>
  <c r="M10" i="1"/>
  <c r="C22" i="1"/>
  <c r="F34" i="2"/>
  <c r="M29" i="2"/>
  <c r="M18" i="2"/>
  <c r="M17" i="2"/>
  <c r="M23" i="2"/>
  <c r="D33" i="2"/>
  <c r="R28" i="2"/>
  <c r="C26" i="2"/>
  <c r="M26" i="2" s="1"/>
  <c r="Q28" i="2"/>
  <c r="R26" i="2"/>
  <c r="Q26" i="2"/>
  <c r="M21" i="2"/>
  <c r="M19" i="2"/>
  <c r="M20" i="2"/>
  <c r="M24" i="2"/>
  <c r="M25" i="2"/>
  <c r="M13" i="2"/>
  <c r="M8" i="2"/>
  <c r="M31" i="2"/>
  <c r="M15" i="2"/>
  <c r="O16" i="2"/>
  <c r="O30" i="2"/>
  <c r="M9" i="2"/>
  <c r="O7" i="2"/>
  <c r="P7" i="2"/>
  <c r="P16" i="2"/>
  <c r="Q16" i="2"/>
  <c r="E33" i="2"/>
  <c r="J34" i="2"/>
  <c r="J33" i="2" s="1"/>
  <c r="Q11" i="2"/>
  <c r="P30" i="2"/>
  <c r="K34" i="2"/>
  <c r="K33" i="2" s="1"/>
  <c r="O11" i="2"/>
  <c r="M14" i="2"/>
  <c r="C30" i="2"/>
  <c r="M30" i="2" s="1"/>
  <c r="G33" i="2"/>
  <c r="Q30" i="2"/>
  <c r="M10" i="2"/>
  <c r="Q7" i="2"/>
  <c r="R11" i="2"/>
  <c r="M5" i="2"/>
  <c r="R7" i="2"/>
  <c r="P11" i="2"/>
  <c r="M32" i="2"/>
  <c r="R16" i="2"/>
  <c r="M12" i="2"/>
  <c r="R30" i="2"/>
  <c r="H33" i="2"/>
  <c r="O4" i="2"/>
  <c r="P4" i="2"/>
  <c r="Q4" i="2"/>
  <c r="M9" i="1"/>
  <c r="C6" i="1"/>
  <c r="M8" i="1"/>
  <c r="M11" i="1"/>
  <c r="M12" i="1"/>
  <c r="M7" i="2" l="1"/>
  <c r="L34" i="2"/>
  <c r="N33" i="2"/>
  <c r="C34" i="2"/>
  <c r="M11" i="2"/>
  <c r="L33" i="2"/>
  <c r="F33" i="2"/>
  <c r="C33" i="2"/>
  <c r="M34" i="2"/>
  <c r="M33" i="2" l="1"/>
  <c r="M20" i="1"/>
  <c r="Q19" i="1"/>
  <c r="O19" i="1"/>
  <c r="N19" i="1"/>
  <c r="L19" i="1"/>
  <c r="Q18" i="1"/>
  <c r="I18" i="1"/>
  <c r="R17" i="1"/>
  <c r="Q17" i="1"/>
  <c r="P17" i="1"/>
  <c r="O17" i="1"/>
  <c r="N17" i="1"/>
  <c r="L17" i="1"/>
  <c r="M17" i="1" s="1"/>
  <c r="K16" i="1"/>
  <c r="J16" i="1"/>
  <c r="I16" i="1"/>
  <c r="R15" i="1"/>
  <c r="Q15" i="1"/>
  <c r="P15" i="1"/>
  <c r="O15" i="1"/>
  <c r="N15" i="1"/>
  <c r="L15" i="1"/>
  <c r="M15" i="1" s="1"/>
  <c r="R14" i="1"/>
  <c r="Q14" i="1"/>
  <c r="P14" i="1"/>
  <c r="O14" i="1"/>
  <c r="N14" i="1"/>
  <c r="L14" i="1"/>
  <c r="R13" i="1"/>
  <c r="Q13" i="1"/>
  <c r="P13" i="1"/>
  <c r="O13" i="1"/>
  <c r="N13" i="1"/>
  <c r="L13" i="1"/>
  <c r="R5" i="1"/>
  <c r="Q5" i="1"/>
  <c r="P5" i="1"/>
  <c r="L5" i="1"/>
  <c r="L4" i="1" s="1"/>
  <c r="K4" i="1"/>
  <c r="J4" i="1"/>
  <c r="H4" i="1"/>
  <c r="O16" i="1" l="1"/>
  <c r="I22" i="1"/>
  <c r="M14" i="1"/>
  <c r="L20" i="1"/>
  <c r="M13" i="1"/>
  <c r="L6" i="1"/>
  <c r="M6" i="1" s="1"/>
  <c r="M4" i="1"/>
  <c r="L22" i="1"/>
  <c r="Q6" i="1"/>
  <c r="O18" i="1"/>
  <c r="P16" i="1"/>
  <c r="O4" i="1"/>
  <c r="E21" i="1"/>
  <c r="F21" i="1"/>
  <c r="D21" i="1"/>
  <c r="Q16" i="1"/>
  <c r="P6" i="1"/>
  <c r="P4" i="1"/>
  <c r="Q4" i="1"/>
  <c r="N18" i="1"/>
  <c r="R16" i="1"/>
  <c r="L16" i="1"/>
  <c r="M16" i="1" s="1"/>
  <c r="M5" i="1"/>
  <c r="R4" i="1"/>
  <c r="K21" i="1"/>
  <c r="L18" i="1"/>
  <c r="M18" i="1" s="1"/>
  <c r="M19" i="1"/>
  <c r="N16" i="1"/>
  <c r="P19" i="1"/>
  <c r="N4" i="1"/>
  <c r="O22" i="1" l="1"/>
  <c r="R22" i="1"/>
  <c r="I21" i="1"/>
  <c r="L21" i="1"/>
  <c r="J21" i="1"/>
  <c r="G21" i="1"/>
  <c r="C21" i="1" s="1"/>
  <c r="R18" i="1"/>
  <c r="P18" i="1"/>
  <c r="M22" i="1"/>
  <c r="R21" i="1" l="1"/>
  <c r="O21" i="1"/>
  <c r="M21" i="1"/>
</calcChain>
</file>

<file path=xl/sharedStrings.xml><?xml version="1.0" encoding="utf-8"?>
<sst xmlns="http://schemas.openxmlformats.org/spreadsheetml/2006/main" count="135" uniqueCount="78">
  <si>
    <t>ACT</t>
  </si>
  <si>
    <r>
      <t xml:space="preserve">Tootetiim 
       </t>
    </r>
    <r>
      <rPr>
        <sz val="11"/>
        <color theme="0"/>
        <rFont val="Raleway Regular"/>
      </rPr>
      <t>Investeeringu täpsustus</t>
    </r>
  </si>
  <si>
    <t>Kvartal 1 (täitmine, €)</t>
  </si>
  <si>
    <t>Kvartal 2 (täitmine, €)</t>
  </si>
  <si>
    <t>Kvartal 3 (täitmine, €)</t>
  </si>
  <si>
    <t>Kvartal 4 (täitmine, €)</t>
  </si>
  <si>
    <t>Jääk, €</t>
  </si>
  <si>
    <t>Kvartal 1 (täitmine %)</t>
  </si>
  <si>
    <t>Kvartal 2 (täitmine %)</t>
  </si>
  <si>
    <t>Kvartal 3 (täitmine %)</t>
  </si>
  <si>
    <t>Kvartal 4 (täitmine %)</t>
  </si>
  <si>
    <t>Suunamised</t>
  </si>
  <si>
    <t>Terviseportaal</t>
  </si>
  <si>
    <t>Tööjõukulu kokku (PEX)</t>
  </si>
  <si>
    <t>Investeering (CAPEX)</t>
  </si>
  <si>
    <t>KOKKU (kvartali kaupa)</t>
  </si>
  <si>
    <t>2025 investeeringute ja teostatud tööde aruanne</t>
  </si>
  <si>
    <t>2025 täitmine kokku (km-ga)</t>
  </si>
  <si>
    <t>2025 eelarve</t>
  </si>
  <si>
    <t>PROJ-4127 EST2EHDS - Terviseandmeruum teiseseks kasutamiseks (OF 10%)</t>
  </si>
  <si>
    <t>FC*</t>
  </si>
  <si>
    <t>upTIS baasplatvorm</t>
  </si>
  <si>
    <t>PROJ-4217 Juurdepääsuõiguste mooduli täiendamine sündmuspõhise andmevahetuse baasteenuste vajadustest lähtuvalt ning andmete sulgemise lahenduse loomine</t>
  </si>
  <si>
    <t>PROJ-4217 TEHIK tööjõukulu (I PA analüütik 0,5FTE, tooteomanik 0,1FTE, testija 0,2FTE)</t>
  </si>
  <si>
    <t>PROJ-4452 Andmekvaliteedi valideerimise ja kontrollimise mooduli väljatöötamine</t>
  </si>
  <si>
    <t>PROJ-4452 TEHIK tööjõukulu (analüütik 0,3FTE, tooteomanik 0,1FTE, testija 0,2FTE, arhitekt 0,05FTE)</t>
  </si>
  <si>
    <t>PROJ-4804 Sündmuspõhise andmevahetuse baasteenuste loomine</t>
  </si>
  <si>
    <t>PROJ-4804 TEHIK tööjõukulu (I PA analüütik 2,5FTE, tooteomanik 0,2FTE, arhitekt 0,05FTE)</t>
  </si>
  <si>
    <t>PROJ-4810 upTIS mikroteenuste tootestamine 2025 I poolaastal</t>
  </si>
  <si>
    <t>PROJ-4810 TEHIK tööjõukulu (tooteomanik 0,5FTE, testija 0,8FTE, arhitekt 0,15FTE)</t>
  </si>
  <si>
    <t>Eelarvestatud tootetiim, TEHIK tööjõukulu** (tooteomanik 1FTE, testija 0,9FTE, arhitekt 0,15FTE, ScM 1,0FTE)</t>
  </si>
  <si>
    <t>2025 täitmine kokku</t>
  </si>
  <si>
    <t xml:space="preserve"> Tervisejuhtimise töölaud</t>
  </si>
  <si>
    <t>PROJ-4186 PÜT terviklik juurutus TJTs</t>
  </si>
  <si>
    <t>Andmekorraldus ja ärianalüüs</t>
  </si>
  <si>
    <t>Eelarvestatud TEHIK tööjõukulu (analüütikud 1,6-4,3FTE)</t>
  </si>
  <si>
    <t>KOKKU (2025 Aasta)</t>
  </si>
  <si>
    <t xml:space="preserve"> Andmelaod ja analüütika</t>
  </si>
  <si>
    <t>PROJ-4386 Tervisekassa andmete TEHIKu andmelattu toomine (AOT alategevus V) (2025)</t>
  </si>
  <si>
    <t>PROJ-4729 Radioloogia uuringute ärianalüüs ja tellimuste loendite kehtestamine CDA platvormil</t>
  </si>
  <si>
    <t>PROJ-4729 TEHIK tööjõukulu (analüütikud 0,3-1FTE)</t>
  </si>
  <si>
    <t>Eelarvestatud tootetiim, TEHIK tööjõukulu** (tooteomanik 1,0 FTE)</t>
  </si>
  <si>
    <t>Teabekeskus</t>
  </si>
  <si>
    <t>PROJ-4214 Teavitused ja meeldetuletused terviseportaalis</t>
  </si>
  <si>
    <t>PROJ-4215 Ravimiskeem terviseportaalis</t>
  </si>
  <si>
    <t>PROJ-4223 Terviseportaali sisuhaldusega maandumislehe arendus</t>
  </si>
  <si>
    <t>PROJ-4188 Ravimiskeemi kommenteerimine</t>
  </si>
  <si>
    <t>PROJ-4222 GovSSO lahenduse juurutamine TTOde süsteemides</t>
  </si>
  <si>
    <t>PROJ-4467 Käsimüügiravimid ja patsiendi sõnul ravimid (toidulisandid)</t>
  </si>
  <si>
    <t>PROJ-4469 Retseptide ja väljaostetud ravimite jäägi ülevaade (ravijärgimuse suurendamine)</t>
  </si>
  <si>
    <t>PROJ-4465 Perearsti kvaliteedisüsteemi (PKS) PowerBI arendused TJT-sse</t>
  </si>
  <si>
    <t>PROJ-4470 Teavituste teenus TJT-sse</t>
  </si>
  <si>
    <t>PROJ-4866 Neerufunktsioon ravimiskeemis</t>
  </si>
  <si>
    <t>PROJ-4867 Ravimiskeemi juurutamine</t>
  </si>
  <si>
    <t>Personaalmeditsiin</t>
  </si>
  <si>
    <t>PROJ-4278 Personaalmeditsiini rakendamine ja IT-taristu jätkuarendused lähtuvalt rinnavähi PRS teenuse vajadustest</t>
  </si>
  <si>
    <t>Ravimilahendused (uus)</t>
  </si>
  <si>
    <t>Eelarvestatud TEHIK tööjõukulu** (analüütikud 1,1-1,3FTE)</t>
  </si>
  <si>
    <t>Kvartal 1 (planeeritud, €)</t>
  </si>
  <si>
    <t>Kvartal 2 (planeeritud, €)</t>
  </si>
  <si>
    <t>Kvartal 3 (planeeritud, €)</t>
  </si>
  <si>
    <t>Kvartal 4 (planeeritud, €)</t>
  </si>
  <si>
    <t>Kulukoht</t>
  </si>
  <si>
    <t>INNO16 - STEEL arendus</t>
  </si>
  <si>
    <t>INNO15 - Radioloogia</t>
  </si>
  <si>
    <t>INNO17 - Tervisep teavitused</t>
  </si>
  <si>
    <t>INNO7 - Raviskeem Tervisep</t>
  </si>
  <si>
    <t>INNO14 - Terviseportaali sisuhaldus</t>
  </si>
  <si>
    <t>INNO10 - Ravimiskeem komment</t>
  </si>
  <si>
    <t>INNO12 - TJT govSSO</t>
  </si>
  <si>
    <t>INNO11 - Raviiskeem käsimüük</t>
  </si>
  <si>
    <t>INNO9 - Ravimiskeem ravijärg</t>
  </si>
  <si>
    <t>INNO18 - PKS TJTs</t>
  </si>
  <si>
    <t>INNO13 - TJT teavitused</t>
  </si>
  <si>
    <t>INNO19 - Neerufun ravimiskeem</t>
  </si>
  <si>
    <t>INNO8 - Ravimiskeem annust</t>
  </si>
  <si>
    <t>INNO3 - Person med arendused</t>
  </si>
  <si>
    <t>PROJ-4386 TEHIK tööjõukulu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</si>
</sst>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5" formatCode="#,##0\ &quot;€&quot;;\-#,##0\ &quot;€&quot;"/>
    <numFmt numFmtId="164" formatCode="_-&quot;€&quot;* #,##0_-;\-&quot;€&quot;* #,##0_-;_-&quot;€&quot;* &quot;-&quot;??_-;_-@_-"/>
    <numFmt numFmtId="165" formatCode="_-* #,##0\ &quot;€&quot;_-;\-* #,##0\ &quot;€&quot;_-;_-* &quot;-&quot;??\ &quot;€&quot;_-;_-@_-"/>
  </numFmts>
  <fonts count="16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theme="1"/>
      <name val="Raleway Regular"/>
    </font>
    <font>
      <b/>
      <sz val="16"/>
      <color theme="3"/>
      <name val="Raleway Regular"/>
    </font>
    <font>
      <b/>
      <sz val="11"/>
      <color theme="4"/>
      <name val="Raleway Regular"/>
    </font>
    <font>
      <b/>
      <sz val="11"/>
      <color rgb="FF00B050"/>
      <name val="Raleway Regular"/>
    </font>
    <font>
      <sz val="11"/>
      <color theme="0"/>
      <name val="Raleway Regular"/>
    </font>
    <font>
      <b/>
      <sz val="11"/>
      <color theme="0"/>
      <name val="Raleway Regular"/>
    </font>
    <font>
      <b/>
      <sz val="11"/>
      <color theme="1"/>
      <name val="Raleway Regular"/>
    </font>
    <font>
      <b/>
      <sz val="11"/>
      <color theme="2" tint="-0.749992370372631"/>
      <name val="Raleway Regular"/>
      <charset val="186"/>
    </font>
    <font>
      <b/>
      <sz val="11"/>
      <name val="Raleway Regular"/>
    </font>
    <font>
      <sz val="11"/>
      <name val="Raleway Regular"/>
    </font>
    <font>
      <sz val="11"/>
      <color theme="2" tint="-0.749992370372631"/>
      <name val="Raleway Regular"/>
      <charset val="186"/>
    </font>
    <font>
      <sz val="11"/>
      <color rgb="FFFF0000"/>
      <name val="Raleway Regular"/>
    </font>
    <font>
      <sz val="11"/>
      <color theme="2" tint="-0.749992370372631"/>
      <name val="Raleway Regular"/>
    </font>
    <font>
      <sz val="11"/>
      <color rgb="FF393939"/>
      <name val="Raleway Regular"/>
    </font>
  </fonts>
  <fills count="5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4"/>
        <bgColor theme="4" tint="0.79998168889431442"/>
      </patternFill>
    </fill>
    <fill>
      <patternFill patternType="solid">
        <fgColor theme="4" tint="0.79998168889431442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theme="4" tint="0.39997558519241921"/>
      </bottom>
      <diagonal/>
    </border>
    <border>
      <left/>
      <right/>
      <top style="thin">
        <color theme="4" tint="0.39997558519241921"/>
      </top>
      <bottom style="thin">
        <color theme="4" tint="0.39994506668294322"/>
      </bottom>
      <diagonal/>
    </border>
    <border>
      <left/>
      <right/>
      <top style="thin">
        <color theme="4" tint="0.39997558519241921"/>
      </top>
      <bottom/>
      <diagonal/>
    </border>
    <border>
      <left/>
      <right/>
      <top style="thin">
        <color rgb="FF44B3E1"/>
      </top>
      <bottom/>
      <diagonal/>
    </border>
    <border>
      <left/>
      <right/>
      <top style="thin">
        <color theme="4" tint="0.39997558519241921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67">
    <xf numFmtId="0" fontId="0" fillId="0" borderId="0" xfId="0"/>
    <xf numFmtId="0" fontId="2" fillId="0" borderId="0" xfId="0" applyFont="1"/>
    <xf numFmtId="0" fontId="3" fillId="0" borderId="0" xfId="0" applyFont="1" applyAlignment="1">
      <alignment vertical="center" wrapText="1"/>
    </xf>
    <xf numFmtId="3" fontId="3" fillId="0" borderId="0" xfId="0" applyNumberFormat="1" applyFont="1" applyAlignment="1">
      <alignment horizontal="right" vertical="center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wrapText="1"/>
    </xf>
    <xf numFmtId="3" fontId="2" fillId="0" borderId="0" xfId="0" applyNumberFormat="1" applyFont="1" applyAlignment="1">
      <alignment horizontal="right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6" fillId="2" borderId="0" xfId="0" applyFont="1" applyFill="1" applyAlignment="1">
      <alignment vertical="center"/>
    </xf>
    <xf numFmtId="0" fontId="7" fillId="3" borderId="1" xfId="0" applyFont="1" applyFill="1" applyBorder="1" applyAlignment="1">
      <alignment vertical="center" wrapText="1"/>
    </xf>
    <xf numFmtId="0" fontId="7" fillId="3" borderId="1" xfId="0" applyFont="1" applyFill="1" applyBorder="1" applyAlignment="1">
      <alignment horizontal="right" vertical="center"/>
    </xf>
    <xf numFmtId="0" fontId="7" fillId="3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2" fillId="4" borderId="0" xfId="0" applyFont="1" applyFill="1" applyAlignment="1">
      <alignment vertical="center"/>
    </xf>
    <xf numFmtId="0" fontId="8" fillId="4" borderId="1" xfId="0" applyFont="1" applyFill="1" applyBorder="1" applyAlignment="1">
      <alignment horizontal="left" vertical="center" wrapText="1"/>
    </xf>
    <xf numFmtId="5" fontId="8" fillId="4" borderId="1" xfId="0" applyNumberFormat="1" applyFont="1" applyFill="1" applyBorder="1" applyAlignment="1">
      <alignment horizontal="right" vertical="center"/>
    </xf>
    <xf numFmtId="164" fontId="9" fillId="4" borderId="1" xfId="0" applyNumberFormat="1" applyFont="1" applyFill="1" applyBorder="1" applyAlignment="1">
      <alignment vertical="center"/>
    </xf>
    <xf numFmtId="164" fontId="10" fillId="4" borderId="1" xfId="0" applyNumberFormat="1" applyFont="1" applyFill="1" applyBorder="1" applyAlignment="1">
      <alignment vertical="center"/>
    </xf>
    <xf numFmtId="9" fontId="9" fillId="4" borderId="1" xfId="1" applyFont="1" applyFill="1" applyBorder="1" applyAlignment="1">
      <alignment vertical="center"/>
    </xf>
    <xf numFmtId="9" fontId="2" fillId="0" borderId="0" xfId="1" applyFont="1" applyAlignment="1">
      <alignment vertical="center"/>
    </xf>
    <xf numFmtId="9" fontId="2" fillId="0" borderId="0" xfId="0" applyNumberFormat="1" applyFont="1" applyAlignment="1">
      <alignment vertical="center"/>
    </xf>
    <xf numFmtId="164" fontId="12" fillId="0" borderId="0" xfId="0" applyNumberFormat="1" applyFont="1" applyAlignment="1">
      <alignment vertical="center"/>
    </xf>
    <xf numFmtId="164" fontId="11" fillId="0" borderId="0" xfId="0" applyNumberFormat="1" applyFont="1" applyAlignment="1">
      <alignment vertical="center"/>
    </xf>
    <xf numFmtId="9" fontId="11" fillId="0" borderId="0" xfId="1" applyFont="1" applyAlignment="1">
      <alignment vertical="center"/>
    </xf>
    <xf numFmtId="9" fontId="12" fillId="0" borderId="0" xfId="1" applyFont="1" applyAlignment="1">
      <alignment vertical="center"/>
    </xf>
    <xf numFmtId="0" fontId="2" fillId="0" borderId="0" xfId="0" applyFont="1" applyAlignment="1">
      <alignment horizontal="left" vertical="center" wrapText="1" indent="7"/>
    </xf>
    <xf numFmtId="164" fontId="14" fillId="0" borderId="2" xfId="0" applyNumberFormat="1" applyFont="1" applyBorder="1" applyAlignment="1" applyProtection="1">
      <alignment vertical="center"/>
      <protection locked="0"/>
    </xf>
    <xf numFmtId="164" fontId="11" fillId="0" borderId="2" xfId="0" applyNumberFormat="1" applyFont="1" applyBorder="1" applyAlignment="1" applyProtection="1">
      <alignment vertical="center"/>
      <protection locked="0"/>
    </xf>
    <xf numFmtId="164" fontId="11" fillId="0" borderId="0" xfId="0" applyNumberFormat="1" applyFont="1" applyAlignment="1" applyProtection="1">
      <alignment vertical="center"/>
      <protection locked="0"/>
    </xf>
    <xf numFmtId="9" fontId="11" fillId="0" borderId="2" xfId="1" applyFont="1" applyBorder="1" applyAlignment="1" applyProtection="1">
      <alignment vertical="center"/>
      <protection locked="0"/>
    </xf>
    <xf numFmtId="164" fontId="14" fillId="0" borderId="3" xfId="0" applyNumberFormat="1" applyFont="1" applyBorder="1" applyAlignment="1">
      <alignment vertical="center"/>
    </xf>
    <xf numFmtId="164" fontId="15" fillId="0" borderId="4" xfId="0" applyNumberFormat="1" applyFont="1" applyBorder="1" applyAlignment="1">
      <alignment vertical="center"/>
    </xf>
    <xf numFmtId="164" fontId="11" fillId="0" borderId="3" xfId="0" applyNumberFormat="1" applyFont="1" applyBorder="1" applyAlignment="1">
      <alignment vertical="center"/>
    </xf>
    <xf numFmtId="9" fontId="15" fillId="0" borderId="4" xfId="1" applyFont="1" applyBorder="1" applyAlignment="1">
      <alignment vertical="center"/>
    </xf>
    <xf numFmtId="0" fontId="7" fillId="3" borderId="0" xfId="0" applyFont="1" applyFill="1" applyAlignment="1">
      <alignment horizontal="left" vertical="center"/>
    </xf>
    <xf numFmtId="165" fontId="7" fillId="3" borderId="0" xfId="0" applyNumberFormat="1" applyFont="1" applyFill="1" applyAlignment="1">
      <alignment horizontal="right" vertical="center"/>
    </xf>
    <xf numFmtId="164" fontId="7" fillId="3" borderId="0" xfId="0" applyNumberFormat="1" applyFont="1" applyFill="1" applyAlignment="1">
      <alignment vertical="center"/>
    </xf>
    <xf numFmtId="9" fontId="7" fillId="3" borderId="0" xfId="1" applyFont="1" applyFill="1" applyAlignment="1">
      <alignment vertical="center"/>
    </xf>
    <xf numFmtId="0" fontId="7" fillId="3" borderId="3" xfId="0" applyFont="1" applyFill="1" applyBorder="1" applyAlignment="1">
      <alignment horizontal="left" vertical="center"/>
    </xf>
    <xf numFmtId="165" fontId="7" fillId="3" borderId="3" xfId="0" applyNumberFormat="1" applyFont="1" applyFill="1" applyBorder="1" applyAlignment="1">
      <alignment horizontal="right" vertical="center"/>
    </xf>
    <xf numFmtId="164" fontId="7" fillId="3" borderId="3" xfId="0" applyNumberFormat="1" applyFont="1" applyFill="1" applyBorder="1" applyAlignment="1">
      <alignment vertical="center"/>
    </xf>
    <xf numFmtId="9" fontId="7" fillId="3" borderId="3" xfId="1" applyFont="1" applyFill="1" applyBorder="1" applyAlignment="1">
      <alignment vertical="center"/>
    </xf>
    <xf numFmtId="0" fontId="7" fillId="3" borderId="5" xfId="0" applyFont="1" applyFill="1" applyBorder="1" applyAlignment="1">
      <alignment horizontal="left" vertical="center"/>
    </xf>
    <xf numFmtId="164" fontId="7" fillId="3" borderId="5" xfId="0" applyNumberFormat="1" applyFont="1" applyFill="1" applyBorder="1" applyAlignment="1">
      <alignment vertical="center"/>
    </xf>
    <xf numFmtId="9" fontId="7" fillId="3" borderId="5" xfId="1" applyFont="1" applyFill="1" applyBorder="1" applyAlignment="1">
      <alignment vertical="center"/>
    </xf>
    <xf numFmtId="164" fontId="7" fillId="3" borderId="0" xfId="0" applyNumberFormat="1" applyFont="1" applyFill="1" applyAlignment="1">
      <alignment horizontal="right" vertical="center"/>
    </xf>
    <xf numFmtId="3" fontId="2" fillId="0" borderId="0" xfId="0" applyNumberFormat="1" applyFont="1"/>
    <xf numFmtId="0" fontId="8" fillId="0" borderId="0" xfId="0" applyFont="1"/>
    <xf numFmtId="164" fontId="2" fillId="0" borderId="0" xfId="0" applyNumberFormat="1" applyFont="1"/>
    <xf numFmtId="165" fontId="2" fillId="0" borderId="0" xfId="0" applyNumberFormat="1" applyFont="1"/>
    <xf numFmtId="164" fontId="2" fillId="0" borderId="0" xfId="0" applyNumberFormat="1" applyFont="1" applyAlignment="1">
      <alignment horizontal="right" vertical="center"/>
    </xf>
    <xf numFmtId="164" fontId="8" fillId="4" borderId="1" xfId="0" applyNumberFormat="1" applyFont="1" applyFill="1" applyBorder="1" applyAlignment="1">
      <alignment horizontal="right" vertical="center"/>
    </xf>
    <xf numFmtId="164" fontId="14" fillId="0" borderId="0" xfId="0" applyNumberFormat="1" applyFont="1" applyAlignment="1" applyProtection="1">
      <alignment vertical="center"/>
      <protection locked="0"/>
    </xf>
    <xf numFmtId="9" fontId="11" fillId="0" borderId="0" xfId="1" applyFont="1" applyBorder="1" applyAlignment="1" applyProtection="1">
      <alignment vertical="center"/>
      <protection locked="0"/>
    </xf>
    <xf numFmtId="164" fontId="2" fillId="0" borderId="3" xfId="0" applyNumberFormat="1" applyFont="1" applyBorder="1" applyAlignment="1">
      <alignment horizontal="right" vertical="center"/>
    </xf>
    <xf numFmtId="164" fontId="14" fillId="0" borderId="3" xfId="0" applyNumberFormat="1" applyFont="1" applyBorder="1" applyAlignment="1" applyProtection="1">
      <alignment vertical="center"/>
      <protection locked="0"/>
    </xf>
    <xf numFmtId="164" fontId="11" fillId="0" borderId="3" xfId="0" applyNumberFormat="1" applyFont="1" applyBorder="1" applyAlignment="1" applyProtection="1">
      <alignment vertical="center"/>
      <protection locked="0"/>
    </xf>
    <xf numFmtId="9" fontId="11" fillId="0" borderId="3" xfId="1" applyFont="1" applyBorder="1" applyAlignment="1" applyProtection="1">
      <alignment vertical="center"/>
      <protection locked="0"/>
    </xf>
    <xf numFmtId="164" fontId="13" fillId="0" borderId="0" xfId="0" applyNumberFormat="1" applyFont="1" applyAlignment="1">
      <alignment vertical="center"/>
    </xf>
    <xf numFmtId="164" fontId="11" fillId="0" borderId="0" xfId="0" applyNumberFormat="1" applyFont="1" applyAlignment="1">
      <alignment horizontal="right" vertical="center"/>
    </xf>
    <xf numFmtId="3" fontId="2" fillId="0" borderId="0" xfId="1" applyNumberFormat="1" applyFont="1" applyAlignment="1">
      <alignment vertical="center"/>
    </xf>
    <xf numFmtId="0" fontId="2" fillId="0" borderId="0" xfId="0" applyFont="1" applyAlignment="1">
      <alignment vertical="center" wrapText="1"/>
    </xf>
    <xf numFmtId="164" fontId="11" fillId="0" borderId="0" xfId="0" applyNumberFormat="1" applyFont="1" applyFill="1" applyAlignment="1">
      <alignment vertical="center"/>
    </xf>
    <xf numFmtId="164" fontId="11" fillId="0" borderId="0" xfId="0" applyNumberFormat="1" applyFont="1" applyFill="1" applyAlignment="1" applyProtection="1">
      <alignment vertical="center"/>
      <protection locked="0"/>
    </xf>
    <xf numFmtId="164" fontId="11" fillId="0" borderId="3" xfId="0" applyNumberFormat="1" applyFont="1" applyFill="1" applyBorder="1" applyAlignment="1">
      <alignment vertical="center"/>
    </xf>
    <xf numFmtId="0" fontId="2" fillId="0" borderId="0" xfId="0" applyFont="1" applyAlignment="1">
      <alignment horizontal="left" wrapText="1"/>
    </xf>
  </cellXfs>
  <cellStyles count="2">
    <cellStyle name="Normaallaad" xfId="0" builtinId="0"/>
    <cellStyle name="Protsent" xfId="1" builtinId="5"/>
  </cellStyles>
  <dxfs count="17"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07031D-DF66-402B-82D3-44428D9B67B7}">
  <dimension ref="A1:U34"/>
  <sheetViews>
    <sheetView zoomScale="80" zoomScaleNormal="80" workbookViewId="0">
      <pane xSplit="2" ySplit="3" topLeftCell="C4" activePane="bottomRight" state="frozen"/>
      <selection activeCell="B1" sqref="B1"/>
      <selection pane="topRight" activeCell="C1" sqref="C1"/>
      <selection pane="bottomLeft" activeCell="B4" sqref="B4"/>
      <selection pane="bottomRight" activeCell="I19" sqref="I19"/>
    </sheetView>
  </sheetViews>
  <sheetFormatPr defaultColWidth="12.125" defaultRowHeight="15.95" customHeight="1"/>
  <cols>
    <col min="1" max="1" width="0.5" style="1" customWidth="1"/>
    <col min="2" max="2" width="76.625" style="1" customWidth="1"/>
    <col min="3" max="3" width="17.625" style="6" customWidth="1"/>
    <col min="4" max="9" width="16.625" style="1" customWidth="1"/>
    <col min="10" max="11" width="16.625" style="1" hidden="1" customWidth="1"/>
    <col min="12" max="13" width="16.625" style="1" customWidth="1"/>
    <col min="14" max="15" width="14.625" style="1" customWidth="1"/>
    <col min="16" max="17" width="14.625" style="1" hidden="1" customWidth="1"/>
    <col min="18" max="18" width="14.625" style="1" customWidth="1"/>
    <col min="19" max="16384" width="12.125" style="1"/>
  </cols>
  <sheetData>
    <row r="1" spans="1:21" ht="20.25">
      <c r="B1" s="2" t="s">
        <v>16</v>
      </c>
      <c r="C1" s="3"/>
      <c r="D1" s="66"/>
      <c r="E1" s="66"/>
      <c r="F1" s="66"/>
      <c r="G1" s="66"/>
      <c r="H1" s="66"/>
      <c r="I1" s="66"/>
      <c r="J1" s="66"/>
      <c r="K1" s="66"/>
      <c r="L1" s="66"/>
      <c r="M1" s="66"/>
      <c r="N1" s="66"/>
      <c r="O1" s="66"/>
      <c r="P1" s="4"/>
      <c r="Q1" s="4"/>
    </row>
    <row r="2" spans="1:21" ht="15">
      <c r="B2" s="5"/>
      <c r="D2" s="7" t="s">
        <v>20</v>
      </c>
      <c r="E2" s="7" t="s">
        <v>20</v>
      </c>
      <c r="F2" s="7" t="s">
        <v>20</v>
      </c>
      <c r="G2" s="7" t="s">
        <v>20</v>
      </c>
      <c r="H2" s="8" t="s">
        <v>0</v>
      </c>
      <c r="I2" s="8" t="s">
        <v>0</v>
      </c>
      <c r="J2" s="8" t="s">
        <v>0</v>
      </c>
      <c r="K2" s="8" t="s">
        <v>0</v>
      </c>
      <c r="L2" s="8" t="s">
        <v>0</v>
      </c>
      <c r="M2" s="8" t="s">
        <v>0</v>
      </c>
      <c r="N2" s="8" t="s">
        <v>0</v>
      </c>
      <c r="O2" s="8" t="s">
        <v>0</v>
      </c>
      <c r="P2" s="8" t="s">
        <v>0</v>
      </c>
      <c r="Q2" s="8" t="s">
        <v>0</v>
      </c>
      <c r="R2" s="8" t="s">
        <v>0</v>
      </c>
    </row>
    <row r="3" spans="1:21" s="13" customFormat="1" ht="42" customHeight="1">
      <c r="A3" s="9"/>
      <c r="B3" s="10" t="s">
        <v>1</v>
      </c>
      <c r="C3" s="11" t="s">
        <v>18</v>
      </c>
      <c r="D3" s="12" t="s">
        <v>58</v>
      </c>
      <c r="E3" s="12" t="s">
        <v>59</v>
      </c>
      <c r="F3" s="12" t="s">
        <v>60</v>
      </c>
      <c r="G3" s="12" t="s">
        <v>61</v>
      </c>
      <c r="H3" s="12" t="s">
        <v>2</v>
      </c>
      <c r="I3" s="12" t="s">
        <v>3</v>
      </c>
      <c r="J3" s="12" t="s">
        <v>4</v>
      </c>
      <c r="K3" s="12" t="s">
        <v>5</v>
      </c>
      <c r="L3" s="12" t="s">
        <v>17</v>
      </c>
      <c r="M3" s="12" t="s">
        <v>6</v>
      </c>
      <c r="N3" s="12" t="s">
        <v>7</v>
      </c>
      <c r="O3" s="12" t="s">
        <v>8</v>
      </c>
      <c r="P3" s="12" t="s">
        <v>9</v>
      </c>
      <c r="Q3" s="12" t="s">
        <v>10</v>
      </c>
      <c r="R3" s="12" t="s">
        <v>31</v>
      </c>
    </row>
    <row r="4" spans="1:21" s="13" customFormat="1" ht="32.1" customHeight="1">
      <c r="B4" s="15" t="s">
        <v>42</v>
      </c>
      <c r="C4" s="52">
        <f>SUM(C5)</f>
        <v>61500</v>
      </c>
      <c r="D4" s="52">
        <f t="shared" ref="D4:G4" si="0">SUM(D5)</f>
        <v>109</v>
      </c>
      <c r="E4" s="52">
        <f t="shared" si="0"/>
        <v>30391</v>
      </c>
      <c r="F4" s="52">
        <f t="shared" si="0"/>
        <v>15500</v>
      </c>
      <c r="G4" s="52">
        <f t="shared" si="0"/>
        <v>15500</v>
      </c>
      <c r="H4" s="18">
        <f>SUM(H5:H5)</f>
        <v>108.68</v>
      </c>
      <c r="I4" s="18">
        <f>SUM(I5:I5)</f>
        <v>11403.49</v>
      </c>
      <c r="J4" s="18">
        <f>SUM(J5:J5)</f>
        <v>0</v>
      </c>
      <c r="K4" s="18">
        <f>SUM(K5:K5)</f>
        <v>0</v>
      </c>
      <c r="L4" s="18">
        <f>SUM(L5:L5)</f>
        <v>11512.17</v>
      </c>
      <c r="M4" s="17">
        <f>C4-L4</f>
        <v>49987.83</v>
      </c>
      <c r="N4" s="19">
        <f t="shared" ref="N4:N19" si="1">IFERROR(H4/D4,0)</f>
        <v>0.99706422018348628</v>
      </c>
      <c r="O4" s="19">
        <f t="shared" ref="O4:Q19" si="2">IFERROR(I4/E4,0)</f>
        <v>0.37522588924352601</v>
      </c>
      <c r="P4" s="19">
        <f t="shared" si="2"/>
        <v>0</v>
      </c>
      <c r="Q4" s="19">
        <f t="shared" si="2"/>
        <v>0</v>
      </c>
      <c r="R4" s="19">
        <f t="shared" ref="R4:R18" si="3">IFERROR((H4+I4+J4+K4)/(D4+E4+F4+G4),0)</f>
        <v>0.18718975609756097</v>
      </c>
      <c r="T4" s="20"/>
      <c r="U4" s="21"/>
    </row>
    <row r="5" spans="1:21" s="13" customFormat="1" ht="27" customHeight="1">
      <c r="A5" s="14"/>
      <c r="B5" s="26" t="s">
        <v>19</v>
      </c>
      <c r="C5" s="51">
        <f>SUM(D5:G5)</f>
        <v>61500</v>
      </c>
      <c r="D5" s="22">
        <v>109</v>
      </c>
      <c r="E5" s="22">
        <v>30391</v>
      </c>
      <c r="F5" s="22">
        <v>15500</v>
      </c>
      <c r="G5" s="22">
        <v>15500</v>
      </c>
      <c r="H5" s="23">
        <v>108.68</v>
      </c>
      <c r="I5" s="23">
        <v>11403.49</v>
      </c>
      <c r="J5" s="23"/>
      <c r="K5" s="23"/>
      <c r="L5" s="23">
        <f t="shared" ref="L5" si="4">SUM(H5:K5)</f>
        <v>11512.17</v>
      </c>
      <c r="M5" s="22">
        <f t="shared" ref="M5:M19" si="5">C5-L5</f>
        <v>49987.83</v>
      </c>
      <c r="N5" s="25">
        <f>IFERROR(H5/D5,0)</f>
        <v>0.99706422018348628</v>
      </c>
      <c r="O5" s="25">
        <f>IFERROR(I5/E5,0)</f>
        <v>0.37522588924352601</v>
      </c>
      <c r="P5" s="25">
        <f t="shared" si="2"/>
        <v>0</v>
      </c>
      <c r="Q5" s="25">
        <f t="shared" si="2"/>
        <v>0</v>
      </c>
      <c r="R5" s="25">
        <f t="shared" si="3"/>
        <v>0.18718975609756097</v>
      </c>
      <c r="T5" s="20"/>
      <c r="U5" s="21"/>
    </row>
    <row r="6" spans="1:21" s="13" customFormat="1" ht="31.5" customHeight="1">
      <c r="B6" s="15" t="s">
        <v>21</v>
      </c>
      <c r="C6" s="52">
        <f>SUM(C7:C15)</f>
        <v>942949.24</v>
      </c>
      <c r="D6" s="52">
        <f t="shared" ref="D6:G6" si="6">SUM(D7:D15)</f>
        <v>88213.82</v>
      </c>
      <c r="E6" s="52">
        <f t="shared" si="6"/>
        <v>292448.06</v>
      </c>
      <c r="F6" s="52">
        <f t="shared" si="6"/>
        <v>282292</v>
      </c>
      <c r="G6" s="52">
        <f t="shared" si="6"/>
        <v>279995.36</v>
      </c>
      <c r="H6" s="18">
        <f>SUM(H7:H15)</f>
        <v>100559.98</v>
      </c>
      <c r="I6" s="18">
        <f>SUM(I7:I15)</f>
        <v>141241.51</v>
      </c>
      <c r="J6" s="18">
        <f t="shared" ref="J6:L6" si="7">SUM(J7:J15)</f>
        <v>0</v>
      </c>
      <c r="K6" s="18">
        <f t="shared" si="7"/>
        <v>0</v>
      </c>
      <c r="L6" s="18">
        <f t="shared" si="7"/>
        <v>241801.49</v>
      </c>
      <c r="M6" s="17">
        <f>C6-L6</f>
        <v>701147.75</v>
      </c>
      <c r="N6" s="19">
        <f>IFERROR(H6/D6,0)</f>
        <v>1.1399572085190279</v>
      </c>
      <c r="O6" s="19">
        <f>IFERROR(I6/E6,0)</f>
        <v>0.482962718234479</v>
      </c>
      <c r="P6" s="19">
        <f t="shared" si="2"/>
        <v>0</v>
      </c>
      <c r="Q6" s="19">
        <f t="shared" si="2"/>
        <v>0</v>
      </c>
      <c r="R6" s="19">
        <f>IFERROR((H6+I6+J6+K6)/(D6+E6+F6+G6),0)</f>
        <v>0.2564310778807139</v>
      </c>
      <c r="T6" s="20"/>
      <c r="U6" s="21"/>
    </row>
    <row r="7" spans="1:21" s="13" customFormat="1" ht="42.75">
      <c r="B7" s="26" t="s">
        <v>22</v>
      </c>
      <c r="C7" s="51">
        <f t="shared" ref="C7:C15" si="8">SUM(D7:G7)</f>
        <v>129998.39999999999</v>
      </c>
      <c r="D7" s="22">
        <v>0</v>
      </c>
      <c r="E7" s="22">
        <v>24400</v>
      </c>
      <c r="F7" s="22">
        <v>52799.199999999997</v>
      </c>
      <c r="G7" s="22">
        <v>52799.199999999997</v>
      </c>
      <c r="H7" s="23">
        <v>0</v>
      </c>
      <c r="I7" s="63">
        <v>0</v>
      </c>
      <c r="J7" s="23"/>
      <c r="K7" s="23"/>
      <c r="L7" s="23">
        <f t="shared" ref="L7:L9" si="9">SUM(H7:K7)</f>
        <v>0</v>
      </c>
      <c r="M7" s="22">
        <f t="shared" si="5"/>
        <v>129998.39999999999</v>
      </c>
      <c r="N7" s="25">
        <f t="shared" si="1"/>
        <v>0</v>
      </c>
      <c r="O7" s="25">
        <f t="shared" si="2"/>
        <v>0</v>
      </c>
      <c r="P7" s="25">
        <f t="shared" si="2"/>
        <v>0</v>
      </c>
      <c r="Q7" s="25">
        <f t="shared" si="2"/>
        <v>0</v>
      </c>
      <c r="R7" s="25">
        <f t="shared" si="3"/>
        <v>0</v>
      </c>
      <c r="T7" s="20"/>
      <c r="U7" s="21"/>
    </row>
    <row r="8" spans="1:21" s="13" customFormat="1" ht="28.5">
      <c r="A8" s="13">
        <v>1</v>
      </c>
      <c r="B8" s="26" t="s">
        <v>23</v>
      </c>
      <c r="C8" s="51">
        <f t="shared" si="8"/>
        <v>36121.600000000006</v>
      </c>
      <c r="D8" s="22">
        <v>2368</v>
      </c>
      <c r="E8" s="22">
        <v>8899.2000000000007</v>
      </c>
      <c r="F8" s="22">
        <v>12427.2</v>
      </c>
      <c r="G8" s="22">
        <v>12427.2</v>
      </c>
      <c r="H8" s="23">
        <v>0</v>
      </c>
      <c r="I8" s="63">
        <v>0</v>
      </c>
      <c r="J8" s="23"/>
      <c r="K8" s="23"/>
      <c r="L8" s="23">
        <f t="shared" si="9"/>
        <v>0</v>
      </c>
      <c r="M8" s="22">
        <f t="shared" si="5"/>
        <v>36121.600000000006</v>
      </c>
      <c r="N8" s="25">
        <f t="shared" si="1"/>
        <v>0</v>
      </c>
      <c r="O8" s="25">
        <f t="shared" si="2"/>
        <v>0</v>
      </c>
      <c r="P8" s="25">
        <f t="shared" si="2"/>
        <v>0</v>
      </c>
      <c r="Q8" s="25">
        <f t="shared" si="2"/>
        <v>0</v>
      </c>
      <c r="R8" s="25">
        <f t="shared" si="3"/>
        <v>0</v>
      </c>
      <c r="T8" s="20"/>
      <c r="U8" s="21"/>
    </row>
    <row r="9" spans="1:21" s="13" customFormat="1" ht="28.5">
      <c r="B9" s="26" t="s">
        <v>24</v>
      </c>
      <c r="C9" s="51">
        <f t="shared" si="8"/>
        <v>305880</v>
      </c>
      <c r="D9" s="22">
        <v>0</v>
      </c>
      <c r="E9" s="22">
        <v>24400</v>
      </c>
      <c r="F9" s="23">
        <v>140740</v>
      </c>
      <c r="G9" s="23">
        <v>140740</v>
      </c>
      <c r="H9" s="23">
        <v>0</v>
      </c>
      <c r="I9" s="23">
        <v>5575.64</v>
      </c>
      <c r="J9" s="23"/>
      <c r="K9" s="23"/>
      <c r="L9" s="23">
        <f t="shared" si="9"/>
        <v>5575.64</v>
      </c>
      <c r="M9" s="23">
        <f t="shared" si="5"/>
        <v>300304.36</v>
      </c>
      <c r="N9" s="24">
        <f t="shared" si="1"/>
        <v>0</v>
      </c>
      <c r="O9" s="24">
        <f t="shared" si="2"/>
        <v>0.22850983606557379</v>
      </c>
      <c r="P9" s="24">
        <f t="shared" si="2"/>
        <v>0</v>
      </c>
      <c r="Q9" s="24">
        <f t="shared" si="2"/>
        <v>0</v>
      </c>
      <c r="R9" s="24">
        <f t="shared" si="3"/>
        <v>1.8228194063031253E-2</v>
      </c>
      <c r="T9" s="20"/>
      <c r="U9" s="21"/>
    </row>
    <row r="10" spans="1:21" s="13" customFormat="1" ht="28.5">
      <c r="A10" s="13">
        <v>1</v>
      </c>
      <c r="B10" s="26" t="s">
        <v>25</v>
      </c>
      <c r="C10" s="51">
        <f t="shared" si="8"/>
        <v>51004.800000000003</v>
      </c>
      <c r="D10" s="22">
        <v>10987.2</v>
      </c>
      <c r="E10" s="22">
        <v>10987.2</v>
      </c>
      <c r="F10" s="22">
        <v>14515.2</v>
      </c>
      <c r="G10" s="22">
        <v>14515.2</v>
      </c>
      <c r="H10" s="23">
        <v>7815</v>
      </c>
      <c r="I10" s="63">
        <v>0</v>
      </c>
      <c r="J10" s="23"/>
      <c r="K10" s="23"/>
      <c r="L10" s="23">
        <f t="shared" ref="L10:L12" si="10">SUM(H10:K10)</f>
        <v>7815</v>
      </c>
      <c r="M10" s="22">
        <f t="shared" ref="M10:M12" si="11">C10-L10</f>
        <v>43189.8</v>
      </c>
      <c r="N10" s="25">
        <f t="shared" ref="N10:N12" si="12">IFERROR(H10/D10,0)</f>
        <v>0.71128221930974223</v>
      </c>
      <c r="O10" s="25">
        <f t="shared" ref="O10:O12" si="13">IFERROR(I10/E10,0)</f>
        <v>0</v>
      </c>
      <c r="P10" s="25">
        <f t="shared" ref="P10:P12" si="14">IFERROR(J10/F10,0)</f>
        <v>0</v>
      </c>
      <c r="Q10" s="25">
        <f t="shared" ref="Q10:Q12" si="15">IFERROR(K10/G10,0)</f>
        <v>0</v>
      </c>
      <c r="R10" s="25">
        <f t="shared" ref="R10:R12" si="16">IFERROR((H10+I10+J10+K10)/(D10+E10+F10+G10),0)</f>
        <v>0.15322087332956896</v>
      </c>
      <c r="T10" s="20"/>
      <c r="U10" s="21"/>
    </row>
    <row r="11" spans="1:21" s="13" customFormat="1" ht="14.25">
      <c r="B11" s="26" t="s">
        <v>26</v>
      </c>
      <c r="C11" s="51">
        <f t="shared" si="8"/>
        <v>63440</v>
      </c>
      <c r="D11" s="22"/>
      <c r="E11" s="22">
        <v>63440</v>
      </c>
      <c r="F11" s="22"/>
      <c r="G11" s="22"/>
      <c r="H11" s="23">
        <v>0</v>
      </c>
      <c r="I11" s="23">
        <v>4165.87</v>
      </c>
      <c r="J11" s="23"/>
      <c r="K11" s="23"/>
      <c r="L11" s="23">
        <f t="shared" si="10"/>
        <v>4165.87</v>
      </c>
      <c r="M11" s="22">
        <f t="shared" si="11"/>
        <v>59274.13</v>
      </c>
      <c r="N11" s="25">
        <f t="shared" si="12"/>
        <v>0</v>
      </c>
      <c r="O11" s="25">
        <f t="shared" si="13"/>
        <v>6.5666298865069361E-2</v>
      </c>
      <c r="P11" s="25">
        <f t="shared" si="14"/>
        <v>0</v>
      </c>
      <c r="Q11" s="25">
        <f t="shared" si="15"/>
        <v>0</v>
      </c>
      <c r="R11" s="25">
        <f t="shared" si="16"/>
        <v>6.5666298865069361E-2</v>
      </c>
      <c r="T11" s="20"/>
      <c r="U11" s="21"/>
    </row>
    <row r="12" spans="1:21" s="13" customFormat="1" ht="28.5">
      <c r="A12" s="13">
        <v>1</v>
      </c>
      <c r="B12" s="26" t="s">
        <v>27</v>
      </c>
      <c r="C12" s="51">
        <f t="shared" si="8"/>
        <v>43549</v>
      </c>
      <c r="D12" s="22">
        <v>21774.5</v>
      </c>
      <c r="E12" s="22">
        <v>21774.5</v>
      </c>
      <c r="F12" s="23"/>
      <c r="G12" s="23"/>
      <c r="H12" s="23">
        <v>22371</v>
      </c>
      <c r="I12" s="63">
        <v>21178</v>
      </c>
      <c r="J12" s="23"/>
      <c r="K12" s="23"/>
      <c r="L12" s="23">
        <f t="shared" si="10"/>
        <v>43549</v>
      </c>
      <c r="M12" s="23">
        <f t="shared" si="11"/>
        <v>0</v>
      </c>
      <c r="N12" s="24">
        <f t="shared" si="12"/>
        <v>1.0273944292635881</v>
      </c>
      <c r="O12" s="24">
        <f t="shared" si="13"/>
        <v>0.97260557073641185</v>
      </c>
      <c r="P12" s="24">
        <f t="shared" si="14"/>
        <v>0</v>
      </c>
      <c r="Q12" s="24">
        <f t="shared" si="15"/>
        <v>0</v>
      </c>
      <c r="R12" s="24">
        <f t="shared" si="16"/>
        <v>1</v>
      </c>
      <c r="T12" s="20"/>
      <c r="U12" s="21"/>
    </row>
    <row r="13" spans="1:21" s="13" customFormat="1" ht="14.25">
      <c r="B13" s="26" t="s">
        <v>28</v>
      </c>
      <c r="C13" s="51">
        <f t="shared" si="8"/>
        <v>64660</v>
      </c>
      <c r="D13" s="22">
        <v>4149</v>
      </c>
      <c r="E13" s="22">
        <v>60511</v>
      </c>
      <c r="F13" s="22">
        <v>0</v>
      </c>
      <c r="G13" s="22">
        <v>0</v>
      </c>
      <c r="H13" s="23">
        <v>4148.9799999999996</v>
      </c>
      <c r="I13" s="23">
        <v>42302</v>
      </c>
      <c r="J13" s="23"/>
      <c r="K13" s="23"/>
      <c r="L13" s="23">
        <f t="shared" ref="L13:L15" si="17">SUM(H13:K13)</f>
        <v>46450.979999999996</v>
      </c>
      <c r="M13" s="22">
        <f t="shared" si="5"/>
        <v>18209.020000000004</v>
      </c>
      <c r="N13" s="25">
        <f t="shared" si="1"/>
        <v>0.99999517956133999</v>
      </c>
      <c r="O13" s="25">
        <f t="shared" si="2"/>
        <v>0.69907950620548331</v>
      </c>
      <c r="P13" s="25">
        <f t="shared" si="2"/>
        <v>0</v>
      </c>
      <c r="Q13" s="25">
        <f t="shared" si="2"/>
        <v>0</v>
      </c>
      <c r="R13" s="25">
        <f t="shared" si="3"/>
        <v>0.71838818434890184</v>
      </c>
      <c r="T13" s="20"/>
      <c r="U13" s="21"/>
    </row>
    <row r="14" spans="1:21" s="13" customFormat="1" ht="28.5">
      <c r="A14" s="13">
        <v>1</v>
      </c>
      <c r="B14" s="26" t="s">
        <v>29</v>
      </c>
      <c r="C14" s="51">
        <f t="shared" si="8"/>
        <v>28180</v>
      </c>
      <c r="D14" s="22">
        <v>14090</v>
      </c>
      <c r="E14" s="22">
        <v>14090</v>
      </c>
      <c r="F14" s="22"/>
      <c r="G14" s="22"/>
      <c r="H14" s="23">
        <v>14797</v>
      </c>
      <c r="I14" s="63">
        <v>11062</v>
      </c>
      <c r="J14" s="23"/>
      <c r="K14" s="23"/>
      <c r="L14" s="23">
        <f t="shared" si="17"/>
        <v>25859</v>
      </c>
      <c r="M14" s="22">
        <f t="shared" si="5"/>
        <v>2321</v>
      </c>
      <c r="N14" s="25">
        <f t="shared" si="1"/>
        <v>1.0501774308019873</v>
      </c>
      <c r="O14" s="25">
        <f t="shared" si="2"/>
        <v>0.78509581263307315</v>
      </c>
      <c r="P14" s="25">
        <f t="shared" si="2"/>
        <v>0</v>
      </c>
      <c r="Q14" s="25">
        <f t="shared" si="2"/>
        <v>0</v>
      </c>
      <c r="R14" s="25">
        <f t="shared" si="3"/>
        <v>0.91763662171753013</v>
      </c>
      <c r="T14" s="20"/>
      <c r="U14" s="21"/>
    </row>
    <row r="15" spans="1:21" s="13" customFormat="1" ht="28.5">
      <c r="A15" s="13">
        <v>1</v>
      </c>
      <c r="B15" s="26" t="s">
        <v>30</v>
      </c>
      <c r="C15" s="51">
        <f t="shared" si="8"/>
        <v>220115.44</v>
      </c>
      <c r="D15" s="22">
        <v>34845.12000000001</v>
      </c>
      <c r="E15" s="22">
        <v>63946.16</v>
      </c>
      <c r="F15" s="23">
        <v>61810.400000000009</v>
      </c>
      <c r="G15" s="23">
        <v>59513.759999999995</v>
      </c>
      <c r="H15" s="23">
        <v>51428</v>
      </c>
      <c r="I15" s="63">
        <v>56958</v>
      </c>
      <c r="J15" s="23"/>
      <c r="K15" s="23"/>
      <c r="L15" s="23">
        <f t="shared" si="17"/>
        <v>108386</v>
      </c>
      <c r="M15" s="23">
        <f t="shared" si="5"/>
        <v>111729.44</v>
      </c>
      <c r="N15" s="24">
        <f t="shared" si="1"/>
        <v>1.4759025080125994</v>
      </c>
      <c r="O15" s="24">
        <f t="shared" si="2"/>
        <v>0.89071806657350494</v>
      </c>
      <c r="P15" s="24">
        <f t="shared" si="2"/>
        <v>0</v>
      </c>
      <c r="Q15" s="24">
        <f t="shared" si="2"/>
        <v>0</v>
      </c>
      <c r="R15" s="24">
        <f t="shared" si="3"/>
        <v>0.49240525789558426</v>
      </c>
      <c r="T15" s="20"/>
      <c r="U15" s="21"/>
    </row>
    <row r="16" spans="1:21" s="13" customFormat="1" ht="15">
      <c r="B16" s="15" t="s">
        <v>32</v>
      </c>
      <c r="C16" s="52">
        <f>SUM(C17)</f>
        <v>170800</v>
      </c>
      <c r="D16" s="52">
        <f t="shared" ref="D16:G16" si="18">SUM(D17)</f>
        <v>0</v>
      </c>
      <c r="E16" s="52">
        <f t="shared" si="18"/>
        <v>85400</v>
      </c>
      <c r="F16" s="52">
        <f t="shared" si="18"/>
        <v>85400</v>
      </c>
      <c r="G16" s="52">
        <f t="shared" si="18"/>
        <v>0</v>
      </c>
      <c r="H16" s="18">
        <f>SUM(H17)</f>
        <v>0</v>
      </c>
      <c r="I16" s="18">
        <f t="shared" ref="I16:K16" si="19">SUM(I17)</f>
        <v>5174.3099999999995</v>
      </c>
      <c r="J16" s="18">
        <f t="shared" si="19"/>
        <v>0</v>
      </c>
      <c r="K16" s="18">
        <f t="shared" si="19"/>
        <v>0</v>
      </c>
      <c r="L16" s="18">
        <f>SUM(L17)</f>
        <v>5174.3099999999995</v>
      </c>
      <c r="M16" s="17">
        <f>C16-L16</f>
        <v>165625.69</v>
      </c>
      <c r="N16" s="19">
        <f t="shared" si="1"/>
        <v>0</v>
      </c>
      <c r="O16" s="19">
        <f t="shared" si="2"/>
        <v>6.0589110070257607E-2</v>
      </c>
      <c r="P16" s="19">
        <f t="shared" si="2"/>
        <v>0</v>
      </c>
      <c r="Q16" s="19">
        <f t="shared" si="2"/>
        <v>0</v>
      </c>
      <c r="R16" s="19">
        <f t="shared" si="3"/>
        <v>3.0294555035128803E-2</v>
      </c>
      <c r="T16" s="20"/>
      <c r="U16" s="21"/>
    </row>
    <row r="17" spans="1:21" s="13" customFormat="1" ht="14.25">
      <c r="B17" s="26" t="s">
        <v>33</v>
      </c>
      <c r="C17" s="51">
        <f>SUM(D17:G17)</f>
        <v>170800</v>
      </c>
      <c r="D17" s="27">
        <v>0</v>
      </c>
      <c r="E17" s="27">
        <v>85400</v>
      </c>
      <c r="F17" s="28">
        <v>85400</v>
      </c>
      <c r="G17" s="28">
        <v>0</v>
      </c>
      <c r="H17" s="28">
        <v>0</v>
      </c>
      <c r="I17" s="28">
        <v>5174.3099999999995</v>
      </c>
      <c r="J17" s="28"/>
      <c r="K17" s="29"/>
      <c r="L17" s="23">
        <f>SUM(H17:K17)</f>
        <v>5174.3099999999995</v>
      </c>
      <c r="M17" s="28">
        <f t="shared" si="5"/>
        <v>165625.69</v>
      </c>
      <c r="N17" s="30">
        <f t="shared" si="1"/>
        <v>0</v>
      </c>
      <c r="O17" s="30">
        <f t="shared" si="2"/>
        <v>6.0589110070257607E-2</v>
      </c>
      <c r="P17" s="30">
        <f t="shared" si="2"/>
        <v>0</v>
      </c>
      <c r="Q17" s="30">
        <f t="shared" si="2"/>
        <v>0</v>
      </c>
      <c r="R17" s="30">
        <f t="shared" si="3"/>
        <v>3.0294555035128803E-2</v>
      </c>
      <c r="T17" s="20"/>
      <c r="U17" s="21"/>
    </row>
    <row r="18" spans="1:21" s="13" customFormat="1" ht="15">
      <c r="B18" s="15" t="s">
        <v>34</v>
      </c>
      <c r="C18" s="16">
        <f>SUM(C19)</f>
        <v>279714.24</v>
      </c>
      <c r="D18" s="16">
        <f t="shared" ref="D18:G18" si="20">SUM(D19)</f>
        <v>30319.840000000004</v>
      </c>
      <c r="E18" s="16">
        <f t="shared" si="20"/>
        <v>79730.399999999994</v>
      </c>
      <c r="F18" s="16">
        <f t="shared" si="20"/>
        <v>86378.000000000015</v>
      </c>
      <c r="G18" s="16">
        <f t="shared" si="20"/>
        <v>83286</v>
      </c>
      <c r="H18" s="18">
        <f>SUM(H19:H19)</f>
        <v>48475</v>
      </c>
      <c r="I18" s="18">
        <f>SUM(I19:I19)</f>
        <v>38778</v>
      </c>
      <c r="J18" s="18">
        <f t="shared" ref="J18:K18" si="21">SUM(J19:J19)</f>
        <v>0</v>
      </c>
      <c r="K18" s="18">
        <f t="shared" si="21"/>
        <v>0</v>
      </c>
      <c r="L18" s="18">
        <f>SUM(L19:L19)</f>
        <v>87253</v>
      </c>
      <c r="M18" s="17">
        <f t="shared" si="5"/>
        <v>192461.24</v>
      </c>
      <c r="N18" s="19">
        <f t="shared" si="1"/>
        <v>1.5987881202539325</v>
      </c>
      <c r="O18" s="19">
        <f t="shared" si="2"/>
        <v>0.48636404683784357</v>
      </c>
      <c r="P18" s="19">
        <f t="shared" si="2"/>
        <v>0</v>
      </c>
      <c r="Q18" s="19">
        <f t="shared" si="2"/>
        <v>0</v>
      </c>
      <c r="R18" s="19">
        <f t="shared" si="3"/>
        <v>0.31193621032665336</v>
      </c>
      <c r="T18" s="20"/>
      <c r="U18" s="21"/>
    </row>
    <row r="19" spans="1:21" s="13" customFormat="1" ht="14.25">
      <c r="A19" s="13">
        <v>1</v>
      </c>
      <c r="B19" s="26" t="s">
        <v>35</v>
      </c>
      <c r="C19" s="51">
        <f>SUM(D19:G19)</f>
        <v>279714.24</v>
      </c>
      <c r="D19" s="31">
        <v>30319.840000000004</v>
      </c>
      <c r="E19" s="31">
        <v>79730.399999999994</v>
      </c>
      <c r="F19" s="32">
        <v>86378.000000000015</v>
      </c>
      <c r="G19" s="32">
        <v>83286</v>
      </c>
      <c r="H19" s="33">
        <v>48475</v>
      </c>
      <c r="I19" s="65">
        <v>38778</v>
      </c>
      <c r="J19" s="33"/>
      <c r="K19" s="23"/>
      <c r="L19" s="23">
        <f t="shared" ref="L19" si="22">SUM(H19:K19)</f>
        <v>87253</v>
      </c>
      <c r="M19" s="32">
        <f t="shared" si="5"/>
        <v>192461.24</v>
      </c>
      <c r="N19" s="34">
        <f t="shared" si="1"/>
        <v>1.5987881202539325</v>
      </c>
      <c r="O19" s="34">
        <f t="shared" si="2"/>
        <v>0.48636404683784357</v>
      </c>
      <c r="P19" s="34">
        <f t="shared" si="2"/>
        <v>0</v>
      </c>
      <c r="Q19" s="34">
        <f t="shared" si="2"/>
        <v>0</v>
      </c>
      <c r="R19" s="34">
        <f>IFERROR((H19+I19+J19+K19)/(D19+E19+F19+G19),0)</f>
        <v>0.31193621032665336</v>
      </c>
      <c r="T19" s="20"/>
      <c r="U19" s="21"/>
    </row>
    <row r="20" spans="1:21" s="13" customFormat="1" ht="32.1" customHeight="1">
      <c r="A20" s="9"/>
      <c r="B20" s="35" t="s">
        <v>13</v>
      </c>
      <c r="C20" s="37">
        <f>SUMIF($A$4:$A$19,"1",C4:C19)</f>
        <v>658685.08000000007</v>
      </c>
      <c r="D20" s="37">
        <f>SUMIF($A$4:$A$19,"1",D4:D19)</f>
        <v>114384.66</v>
      </c>
      <c r="E20" s="37">
        <f t="shared" ref="E20:G20" si="23">SUMIF($A$4:$A$19,"1",E4:E19)</f>
        <v>199427.46</v>
      </c>
      <c r="F20" s="37">
        <f t="shared" si="23"/>
        <v>175130.80000000005</v>
      </c>
      <c r="G20" s="37">
        <f t="shared" si="23"/>
        <v>169742.16</v>
      </c>
      <c r="H20" s="37">
        <f>SUMIF($A$4:$A$19,"1",H4:H19)</f>
        <v>144886</v>
      </c>
      <c r="I20" s="37">
        <f>SUMIF($A$4:$A$19,"1",I4:I19)</f>
        <v>127976</v>
      </c>
      <c r="J20" s="37">
        <f t="shared" ref="J20:L20" si="24">SUMIF($A$4:$A$19,"1",J4:J19)</f>
        <v>0</v>
      </c>
      <c r="K20" s="37">
        <f t="shared" si="24"/>
        <v>0</v>
      </c>
      <c r="L20" s="37">
        <f t="shared" si="24"/>
        <v>272862</v>
      </c>
      <c r="M20" s="37">
        <f>C20-H20-I20-J20-K20</f>
        <v>385823.08000000007</v>
      </c>
      <c r="N20" s="38">
        <f t="shared" ref="N20:O22" si="25">H20/D20</f>
        <v>1.2666558610219236</v>
      </c>
      <c r="O20" s="38">
        <f t="shared" si="25"/>
        <v>0.64171704338008417</v>
      </c>
      <c r="P20" s="38"/>
      <c r="Q20" s="38"/>
      <c r="R20" s="38">
        <f>IFERROR((H20+I20+J20+K20)/(D20+E20+F20+G20),0)</f>
        <v>0.41425258941647802</v>
      </c>
      <c r="T20" s="20"/>
      <c r="U20" s="21"/>
    </row>
    <row r="21" spans="1:21" ht="15.95" customHeight="1">
      <c r="B21" s="39" t="s">
        <v>14</v>
      </c>
      <c r="C21" s="40">
        <f>SUM(D21:G21)</f>
        <v>796278.39999999991</v>
      </c>
      <c r="D21" s="41">
        <f t="shared" ref="D21:G21" si="26">D22-D20</f>
        <v>4258</v>
      </c>
      <c r="E21" s="41">
        <f>E22-E20</f>
        <v>288542</v>
      </c>
      <c r="F21" s="41">
        <f t="shared" si="26"/>
        <v>294439.19999999995</v>
      </c>
      <c r="G21" s="41">
        <f t="shared" si="26"/>
        <v>209039.19999999998</v>
      </c>
      <c r="H21" s="41">
        <f>H22-H20</f>
        <v>4257.6599999999744</v>
      </c>
      <c r="I21" s="41">
        <f>I22-I20</f>
        <v>68621.31</v>
      </c>
      <c r="J21" s="41">
        <f t="shared" ref="J21" si="27">J22-J20</f>
        <v>0</v>
      </c>
      <c r="K21" s="41">
        <f>K22-K20</f>
        <v>0</v>
      </c>
      <c r="L21" s="41">
        <f>L22-L20</f>
        <v>72878.969999999972</v>
      </c>
      <c r="M21" s="41">
        <f>C21-H21-I21-J21-K21</f>
        <v>723399.42999999993</v>
      </c>
      <c r="N21" s="42">
        <f t="shared" si="25"/>
        <v>0.99992015030530168</v>
      </c>
      <c r="O21" s="42">
        <f t="shared" si="25"/>
        <v>0.23782087183148379</v>
      </c>
      <c r="P21" s="42"/>
      <c r="Q21" s="42"/>
      <c r="R21" s="42">
        <f>IFERROR((H21+I21+J21+K21)/(D21+E21+F21+G21),0)</f>
        <v>9.1524484401435457E-2</v>
      </c>
      <c r="T21" s="20"/>
      <c r="U21" s="21"/>
    </row>
    <row r="22" spans="1:21" ht="15.95" customHeight="1">
      <c r="B22" s="43" t="s">
        <v>15</v>
      </c>
      <c r="C22" s="44">
        <f>SUM(D22:G22)</f>
        <v>1454963.48</v>
      </c>
      <c r="D22" s="44">
        <f>D4+D6+D16+D18</f>
        <v>118642.66</v>
      </c>
      <c r="E22" s="44">
        <f t="shared" ref="E22:G22" si="28">E4+E6+E16+E18</f>
        <v>487969.45999999996</v>
      </c>
      <c r="F22" s="44">
        <f t="shared" si="28"/>
        <v>469570</v>
      </c>
      <c r="G22" s="44">
        <f t="shared" si="28"/>
        <v>378781.36</v>
      </c>
      <c r="H22" s="44">
        <f>H4+H6+H16+H18</f>
        <v>149143.65999999997</v>
      </c>
      <c r="I22" s="44">
        <f t="shared" ref="I22:K22" si="29">I4+I6+I16+I18</f>
        <v>196597.31</v>
      </c>
      <c r="J22" s="44">
        <f t="shared" si="29"/>
        <v>0</v>
      </c>
      <c r="K22" s="44">
        <f t="shared" si="29"/>
        <v>0</v>
      </c>
      <c r="L22" s="44">
        <f>L4+L6+L16+L18</f>
        <v>345740.97</v>
      </c>
      <c r="M22" s="44">
        <f>C22-H22-I22-J22-K22</f>
        <v>1109222.51</v>
      </c>
      <c r="N22" s="45">
        <f t="shared" si="25"/>
        <v>1.2570829076151864</v>
      </c>
      <c r="O22" s="45">
        <f t="shared" si="25"/>
        <v>0.40288855372219401</v>
      </c>
      <c r="P22" s="45"/>
      <c r="Q22" s="45"/>
      <c r="R22" s="45">
        <f>IFERROR((H22+I22+J22+K22)/(D22+E22+F22+G22),0)</f>
        <v>0.23762862419062228</v>
      </c>
      <c r="T22" s="20"/>
      <c r="U22" s="21"/>
    </row>
    <row r="23" spans="1:21" ht="15.95" customHeight="1">
      <c r="B23" s="35" t="s">
        <v>36</v>
      </c>
      <c r="C23" s="36"/>
      <c r="D23" s="46"/>
      <c r="E23" s="37"/>
      <c r="F23" s="37"/>
      <c r="G23" s="37">
        <f>D22+E22+F22+G22</f>
        <v>1454963.48</v>
      </c>
      <c r="H23" s="46"/>
      <c r="I23" s="37"/>
      <c r="J23" s="37"/>
      <c r="K23" s="37"/>
      <c r="L23" s="37"/>
      <c r="M23" s="37"/>
      <c r="N23" s="38"/>
      <c r="O23" s="38"/>
      <c r="P23" s="38"/>
      <c r="Q23" s="38"/>
      <c r="R23" s="38"/>
      <c r="T23" s="20"/>
      <c r="U23" s="21"/>
    </row>
    <row r="24" spans="1:21" ht="15.95" customHeight="1">
      <c r="D24" s="47"/>
      <c r="E24" s="47"/>
    </row>
    <row r="25" spans="1:21" ht="15.95" customHeight="1">
      <c r="B25" s="48"/>
      <c r="M25" s="49"/>
    </row>
    <row r="26" spans="1:21" ht="15.95" customHeight="1">
      <c r="H26" s="49"/>
      <c r="L26" s="50"/>
      <c r="M26" s="49"/>
    </row>
    <row r="27" spans="1:21" ht="15.95" customHeight="1">
      <c r="D27" s="49"/>
      <c r="L27" s="50"/>
      <c r="M27" s="49"/>
    </row>
    <row r="28" spans="1:21" ht="15.95" customHeight="1">
      <c r="L28" s="50"/>
      <c r="M28" s="49"/>
    </row>
    <row r="30" spans="1:21" ht="15.95" customHeight="1">
      <c r="D30" s="49"/>
    </row>
    <row r="32" spans="1:21" ht="15.95" customHeight="1">
      <c r="D32" s="49"/>
    </row>
    <row r="33" spans="4:4" ht="15.95" customHeight="1">
      <c r="D33" s="49"/>
    </row>
    <row r="34" spans="4:4" ht="15.95" customHeight="1">
      <c r="D34" s="49"/>
    </row>
  </sheetData>
  <autoFilter ref="A3:O23" xr:uid="{30D263DF-C9AA-E144-A1C0-5C5F1D37A725}"/>
  <mergeCells count="1">
    <mergeCell ref="D1:O1"/>
  </mergeCells>
  <conditionalFormatting sqref="D17:K17">
    <cfRule type="cellIs" dxfId="16" priority="5" operator="lessThan">
      <formula>0</formula>
    </cfRule>
  </conditionalFormatting>
  <conditionalFormatting sqref="D19:K19">
    <cfRule type="cellIs" dxfId="15" priority="8" operator="lessThan">
      <formula>0</formula>
    </cfRule>
  </conditionalFormatting>
  <conditionalFormatting sqref="M4:M22">
    <cfRule type="cellIs" dxfId="14" priority="2" operator="lessThan">
      <formula>-1</formula>
    </cfRule>
  </conditionalFormatting>
  <conditionalFormatting sqref="N20:O22">
    <cfRule type="cellIs" dxfId="13" priority="1" operator="lessThan">
      <formula>-1</formula>
    </cfRule>
  </conditionalFormatting>
  <conditionalFormatting sqref="N17:R17">
    <cfRule type="cellIs" dxfId="12" priority="7" operator="lessThan">
      <formula>0</formula>
    </cfRule>
  </conditionalFormatting>
  <conditionalFormatting sqref="N19:R19">
    <cfRule type="cellIs" dxfId="11" priority="6" operator="lessThan">
      <formula>0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2B44F9-F4DB-4669-B379-7D55F3276691}">
  <dimension ref="A1:U46"/>
  <sheetViews>
    <sheetView tabSelected="1" zoomScale="80" zoomScaleNormal="80" workbookViewId="0">
      <pane xSplit="2" ySplit="3" topLeftCell="C4" activePane="bottomRight" state="frozen"/>
      <selection activeCell="B1" sqref="B1"/>
      <selection pane="topRight" activeCell="C1" sqref="C1"/>
      <selection pane="bottomLeft" activeCell="B4" sqref="B4"/>
      <selection pane="bottomRight" activeCell="I31" sqref="I31"/>
    </sheetView>
  </sheetViews>
  <sheetFormatPr defaultColWidth="12.125" defaultRowHeight="15.95" customHeight="1"/>
  <cols>
    <col min="1" max="1" width="0.125" style="1" customWidth="1"/>
    <col min="2" max="2" width="76.625" style="1" customWidth="1"/>
    <col min="3" max="3" width="17.625" style="6" customWidth="1"/>
    <col min="4" max="9" width="16.625" style="1" customWidth="1"/>
    <col min="10" max="11" width="16.625" style="1" hidden="1" customWidth="1"/>
    <col min="12" max="13" width="16.625" style="1" customWidth="1"/>
    <col min="14" max="15" width="14.625" style="1" customWidth="1"/>
    <col min="16" max="17" width="14.625" style="1" hidden="1" customWidth="1"/>
    <col min="18" max="18" width="14.625" style="1" customWidth="1"/>
    <col min="19" max="19" width="31.5" style="1" customWidth="1"/>
    <col min="20" max="16384" width="12.125" style="1"/>
  </cols>
  <sheetData>
    <row r="1" spans="1:21" ht="20.25">
      <c r="B1" s="2" t="s">
        <v>16</v>
      </c>
      <c r="C1" s="3"/>
      <c r="D1" s="66"/>
      <c r="E1" s="66"/>
      <c r="F1" s="66"/>
      <c r="G1" s="66"/>
      <c r="H1" s="66"/>
      <c r="I1" s="66"/>
      <c r="J1" s="66"/>
      <c r="K1" s="66"/>
      <c r="L1" s="66"/>
      <c r="M1" s="66"/>
      <c r="N1" s="66"/>
      <c r="O1" s="66"/>
      <c r="P1" s="4"/>
      <c r="Q1" s="4"/>
    </row>
    <row r="2" spans="1:21" ht="15">
      <c r="B2" s="5"/>
      <c r="D2" s="7" t="s">
        <v>20</v>
      </c>
      <c r="E2" s="7" t="s">
        <v>20</v>
      </c>
      <c r="F2" s="7" t="s">
        <v>20</v>
      </c>
      <c r="G2" s="7" t="s">
        <v>20</v>
      </c>
      <c r="H2" s="8" t="s">
        <v>0</v>
      </c>
      <c r="I2" s="8" t="s">
        <v>0</v>
      </c>
      <c r="J2" s="8" t="s">
        <v>0</v>
      </c>
      <c r="K2" s="8" t="s">
        <v>0</v>
      </c>
      <c r="L2" s="8" t="s">
        <v>0</v>
      </c>
      <c r="M2" s="8" t="s">
        <v>0</v>
      </c>
      <c r="N2" s="8" t="s">
        <v>0</v>
      </c>
      <c r="O2" s="8" t="s">
        <v>0</v>
      </c>
      <c r="P2" s="8" t="s">
        <v>0</v>
      </c>
      <c r="Q2" s="8" t="s">
        <v>0</v>
      </c>
      <c r="R2" s="8" t="s">
        <v>0</v>
      </c>
    </row>
    <row r="3" spans="1:21" s="13" customFormat="1" ht="42" customHeight="1">
      <c r="A3" s="9"/>
      <c r="B3" s="10" t="s">
        <v>1</v>
      </c>
      <c r="C3" s="11" t="s">
        <v>18</v>
      </c>
      <c r="D3" s="12" t="s">
        <v>58</v>
      </c>
      <c r="E3" s="12" t="s">
        <v>59</v>
      </c>
      <c r="F3" s="12" t="s">
        <v>60</v>
      </c>
      <c r="G3" s="12" t="s">
        <v>61</v>
      </c>
      <c r="H3" s="12" t="s">
        <v>2</v>
      </c>
      <c r="I3" s="12" t="s">
        <v>3</v>
      </c>
      <c r="J3" s="12" t="s">
        <v>4</v>
      </c>
      <c r="K3" s="12" t="s">
        <v>5</v>
      </c>
      <c r="L3" s="12" t="s">
        <v>17</v>
      </c>
      <c r="M3" s="12" t="s">
        <v>6</v>
      </c>
      <c r="N3" s="12" t="s">
        <v>7</v>
      </c>
      <c r="O3" s="12" t="s">
        <v>8</v>
      </c>
      <c r="P3" s="12" t="s">
        <v>9</v>
      </c>
      <c r="Q3" s="12" t="s">
        <v>10</v>
      </c>
      <c r="R3" s="12" t="s">
        <v>31</v>
      </c>
      <c r="S3" s="12" t="s">
        <v>62</v>
      </c>
    </row>
    <row r="4" spans="1:21" s="13" customFormat="1" ht="15">
      <c r="B4" s="15" t="s">
        <v>37</v>
      </c>
      <c r="C4" s="52">
        <f>SUM(C5)</f>
        <v>369000.4</v>
      </c>
      <c r="D4" s="52">
        <f t="shared" ref="D4:G4" si="0">SUM(D5)</f>
        <v>0</v>
      </c>
      <c r="E4" s="52">
        <f t="shared" si="0"/>
        <v>122000</v>
      </c>
      <c r="F4" s="52">
        <f t="shared" si="0"/>
        <v>123500.20000000003</v>
      </c>
      <c r="G4" s="52">
        <f t="shared" si="0"/>
        <v>123500.20000000003</v>
      </c>
      <c r="H4" s="18">
        <f>SUM(H5:H5)</f>
        <v>0</v>
      </c>
      <c r="I4" s="18">
        <f>SUM(I5:I6)</f>
        <v>22762.959999999999</v>
      </c>
      <c r="J4" s="18">
        <f t="shared" ref="J4:K4" si="1">SUM(J5:J6)</f>
        <v>0</v>
      </c>
      <c r="K4" s="18">
        <f t="shared" si="1"/>
        <v>0</v>
      </c>
      <c r="L4" s="18">
        <f>SUM(L5:L6)</f>
        <v>22762.959999999999</v>
      </c>
      <c r="M4" s="17">
        <f>C4-L4</f>
        <v>346237.44</v>
      </c>
      <c r="N4" s="19">
        <f>IFERROR(H4/D4,0)</f>
        <v>0</v>
      </c>
      <c r="O4" s="19">
        <f t="shared" ref="N4:Q31" si="2">IFERROR(I4/E4,0)</f>
        <v>0.18658163934426228</v>
      </c>
      <c r="P4" s="19">
        <f t="shared" si="2"/>
        <v>0</v>
      </c>
      <c r="Q4" s="19">
        <f t="shared" si="2"/>
        <v>0</v>
      </c>
      <c r="R4" s="19">
        <f>IFERROR((H4+I4+J4+K4)/(D4+E4+F4+G4),0)</f>
        <v>6.1688171611738084E-2</v>
      </c>
      <c r="T4" s="20"/>
      <c r="U4" s="21"/>
    </row>
    <row r="5" spans="1:21" s="13" customFormat="1" ht="27" customHeight="1">
      <c r="A5" s="14"/>
      <c r="B5" s="26" t="s">
        <v>38</v>
      </c>
      <c r="C5" s="51">
        <f>SUM(D5:G5)</f>
        <v>369000.4</v>
      </c>
      <c r="D5" s="22">
        <v>0</v>
      </c>
      <c r="E5" s="22">
        <v>122000</v>
      </c>
      <c r="F5" s="22">
        <v>123500.20000000003</v>
      </c>
      <c r="G5" s="22">
        <v>123500.20000000003</v>
      </c>
      <c r="H5" s="23">
        <v>0</v>
      </c>
      <c r="I5" s="23">
        <v>0</v>
      </c>
      <c r="J5" s="23"/>
      <c r="K5" s="23"/>
      <c r="L5" s="23">
        <f>SUM(H5:K5)</f>
        <v>0</v>
      </c>
      <c r="M5" s="22">
        <f t="shared" ref="M5:M31" si="3">C5-L5</f>
        <v>369000.4</v>
      </c>
      <c r="N5" s="25">
        <f>IFERROR(H5/D5,0)</f>
        <v>0</v>
      </c>
      <c r="O5" s="25">
        <f t="shared" si="2"/>
        <v>0</v>
      </c>
      <c r="P5" s="25">
        <f t="shared" si="2"/>
        <v>0</v>
      </c>
      <c r="Q5" s="25">
        <f t="shared" si="2"/>
        <v>0</v>
      </c>
      <c r="R5" s="25">
        <f t="shared" ref="R5:R34" si="4">IFERROR((H5+I5+J5+K5)/(D5+E5+F5+G5),0)</f>
        <v>0</v>
      </c>
      <c r="S5" s="13" t="s">
        <v>63</v>
      </c>
      <c r="T5" s="61"/>
      <c r="U5" s="21"/>
    </row>
    <row r="6" spans="1:21" s="13" customFormat="1" ht="14.25">
      <c r="A6" s="14">
        <v>1</v>
      </c>
      <c r="B6" s="26" t="s">
        <v>77</v>
      </c>
      <c r="C6" s="51"/>
      <c r="D6" s="22"/>
      <c r="E6" s="22"/>
      <c r="F6" s="22"/>
      <c r="G6" s="22"/>
      <c r="H6" s="23"/>
      <c r="I6" s="63">
        <v>22762.959999999999</v>
      </c>
      <c r="J6" s="23"/>
      <c r="K6" s="23"/>
      <c r="L6" s="23">
        <f>SUM(H6:K6)</f>
        <v>22762.959999999999</v>
      </c>
      <c r="M6" s="22">
        <f t="shared" si="3"/>
        <v>-22762.959999999999</v>
      </c>
      <c r="N6" s="25">
        <f>IFERROR(H6/D6,0)</f>
        <v>0</v>
      </c>
      <c r="O6" s="25">
        <f t="shared" ref="O6" si="5">IFERROR(I6/E6,0)</f>
        <v>0</v>
      </c>
      <c r="P6" s="25">
        <f t="shared" ref="P6" si="6">IFERROR(J6/F6,0)</f>
        <v>0</v>
      </c>
      <c r="Q6" s="25">
        <f t="shared" ref="Q6" si="7">IFERROR(K6/G6,0)</f>
        <v>0</v>
      </c>
      <c r="R6" s="25">
        <f>IFERROR((H6+I6+J6+K6)/(D6+E6+F6+G6),0)</f>
        <v>0</v>
      </c>
      <c r="S6" s="13" t="s">
        <v>63</v>
      </c>
      <c r="T6" s="61"/>
      <c r="U6" s="21"/>
    </row>
    <row r="7" spans="1:21" s="13" customFormat="1" ht="15">
      <c r="B7" s="15" t="s">
        <v>11</v>
      </c>
      <c r="C7" s="52">
        <f>SUM(C8:C10)</f>
        <v>122489.43974999999</v>
      </c>
      <c r="D7" s="52">
        <f t="shared" ref="D7:G7" si="8">SUM(D8:D10)</f>
        <v>6783.7498750000004</v>
      </c>
      <c r="E7" s="52">
        <f t="shared" si="8"/>
        <v>6783.7498750000004</v>
      </c>
      <c r="F7" s="52">
        <f t="shared" si="8"/>
        <v>54824.17</v>
      </c>
      <c r="G7" s="52">
        <f t="shared" si="8"/>
        <v>54097.77</v>
      </c>
      <c r="H7" s="52">
        <f>SUM(H8:H10)</f>
        <v>16348</v>
      </c>
      <c r="I7" s="52">
        <f>SUM(I8:I10)</f>
        <v>12483</v>
      </c>
      <c r="J7" s="52">
        <f t="shared" ref="J7" si="9">SUM(J8:J10)</f>
        <v>0</v>
      </c>
      <c r="K7" s="52">
        <f t="shared" ref="K7" si="10">SUM(K8:K10)</f>
        <v>0</v>
      </c>
      <c r="L7" s="52">
        <f>SUM(L8:L10)</f>
        <v>28831</v>
      </c>
      <c r="M7" s="17">
        <f>C7-L7</f>
        <v>93658.43974999999</v>
      </c>
      <c r="N7" s="19">
        <f>IFERROR(H7/D7,0)</f>
        <v>2.409876587615194</v>
      </c>
      <c r="O7" s="19">
        <f t="shared" ref="O7:O10" si="11">IFERROR(I7/E7,0)</f>
        <v>1.8401327038904127</v>
      </c>
      <c r="P7" s="19">
        <f t="shared" ref="P7:P10" si="12">IFERROR(J7/F7,0)</f>
        <v>0</v>
      </c>
      <c r="Q7" s="19">
        <f t="shared" ref="Q7:Q10" si="13">IFERROR(K7/G7,0)</f>
        <v>0</v>
      </c>
      <c r="R7" s="19">
        <f t="shared" ref="R7:R10" si="14">IFERROR((H7+I7+J7+K7)/(D7+E7+F7+G7),0)</f>
        <v>0.23537539284075304</v>
      </c>
      <c r="T7" s="20"/>
      <c r="U7" s="21"/>
    </row>
    <row r="8" spans="1:21" s="13" customFormat="1" ht="27" customHeight="1">
      <c r="A8" s="14"/>
      <c r="B8" s="26" t="s">
        <v>39</v>
      </c>
      <c r="C8" s="51">
        <f>SUM(D8:G8)</f>
        <v>46463</v>
      </c>
      <c r="D8" s="22">
        <v>0</v>
      </c>
      <c r="E8" s="22">
        <v>0</v>
      </c>
      <c r="F8" s="22">
        <v>23231.5</v>
      </c>
      <c r="G8" s="22">
        <v>23231.5</v>
      </c>
      <c r="H8" s="23"/>
      <c r="I8" s="23">
        <v>0</v>
      </c>
      <c r="J8" s="23"/>
      <c r="K8" s="23"/>
      <c r="L8" s="23">
        <f t="shared" ref="L8:L9" si="15">SUM(H8:K8)</f>
        <v>0</v>
      </c>
      <c r="M8" s="22">
        <f t="shared" ref="M8:M9" si="16">C8-L8</f>
        <v>46463</v>
      </c>
      <c r="N8" s="25">
        <f t="shared" ref="N8:N9" si="17">IFERROR(H8/D8,0)</f>
        <v>0</v>
      </c>
      <c r="O8" s="25">
        <f t="shared" ref="O8:O9" si="18">IFERROR(I8/E8,0)</f>
        <v>0</v>
      </c>
      <c r="P8" s="25">
        <f t="shared" ref="P8:P9" si="19">IFERROR(J8/F8,0)</f>
        <v>0</v>
      </c>
      <c r="Q8" s="25">
        <f t="shared" ref="Q8:Q9" si="20">IFERROR(K8/G8,0)</f>
        <v>0</v>
      </c>
      <c r="R8" s="25">
        <f t="shared" ref="R8:R9" si="21">IFERROR((H8+I8+J8+K8)/(D8+E8+F8+G8),0)</f>
        <v>0</v>
      </c>
      <c r="S8" s="62" t="s">
        <v>64</v>
      </c>
      <c r="T8" s="20"/>
      <c r="U8" s="21"/>
    </row>
    <row r="9" spans="1:21" s="13" customFormat="1" ht="14.25">
      <c r="A9" s="14">
        <v>1</v>
      </c>
      <c r="B9" s="26" t="s">
        <v>40</v>
      </c>
      <c r="C9" s="51">
        <f>SUM(D9:G9)</f>
        <v>29536.839749999999</v>
      </c>
      <c r="D9" s="22">
        <v>6783.7498750000004</v>
      </c>
      <c r="E9" s="22">
        <v>6783.7498750000004</v>
      </c>
      <c r="F9" s="22">
        <v>7984.67</v>
      </c>
      <c r="G9" s="22">
        <v>7984.67</v>
      </c>
      <c r="H9" s="23">
        <v>16348</v>
      </c>
      <c r="I9" s="63">
        <v>12483</v>
      </c>
      <c r="J9" s="23"/>
      <c r="K9" s="23"/>
      <c r="L9" s="23">
        <f t="shared" si="15"/>
        <v>28831</v>
      </c>
      <c r="M9" s="22">
        <f t="shared" si="16"/>
        <v>705.83974999999919</v>
      </c>
      <c r="N9" s="25">
        <f t="shared" si="17"/>
        <v>2.409876587615194</v>
      </c>
      <c r="O9" s="25">
        <f t="shared" si="18"/>
        <v>1.8401327038904127</v>
      </c>
      <c r="P9" s="25">
        <f t="shared" si="19"/>
        <v>0</v>
      </c>
      <c r="Q9" s="25">
        <f t="shared" si="20"/>
        <v>0</v>
      </c>
      <c r="R9" s="25">
        <f t="shared" si="21"/>
        <v>0.97610307141948049</v>
      </c>
      <c r="S9" s="62" t="s">
        <v>64</v>
      </c>
      <c r="T9" s="20"/>
      <c r="U9" s="21"/>
    </row>
    <row r="10" spans="1:21" s="13" customFormat="1" ht="14.25">
      <c r="A10" s="14">
        <v>1</v>
      </c>
      <c r="B10" s="26" t="s">
        <v>41</v>
      </c>
      <c r="C10" s="51">
        <f>SUM(D10:G10)</f>
        <v>46489.599999999999</v>
      </c>
      <c r="D10" s="22">
        <v>0</v>
      </c>
      <c r="E10" s="22">
        <v>0</v>
      </c>
      <c r="F10" s="22">
        <v>23608</v>
      </c>
      <c r="G10" s="22">
        <v>22881.599999999999</v>
      </c>
      <c r="H10" s="23">
        <v>0</v>
      </c>
      <c r="I10" s="63">
        <v>0</v>
      </c>
      <c r="J10" s="23"/>
      <c r="K10" s="23"/>
      <c r="L10" s="23">
        <f t="shared" ref="L10" si="22">SUM(H10:K10)</f>
        <v>0</v>
      </c>
      <c r="M10" s="22">
        <f t="shared" ref="M10" si="23">C10-L10</f>
        <v>46489.599999999999</v>
      </c>
      <c r="N10" s="25">
        <f t="shared" ref="N10" si="24">IFERROR(H10/D10,0)</f>
        <v>0</v>
      </c>
      <c r="O10" s="25">
        <f t="shared" si="11"/>
        <v>0</v>
      </c>
      <c r="P10" s="25">
        <f t="shared" si="12"/>
        <v>0</v>
      </c>
      <c r="Q10" s="25">
        <f t="shared" si="13"/>
        <v>0</v>
      </c>
      <c r="R10" s="25">
        <f t="shared" si="14"/>
        <v>0</v>
      </c>
      <c r="T10" s="20"/>
      <c r="U10" s="21"/>
    </row>
    <row r="11" spans="1:21" s="13" customFormat="1" ht="15">
      <c r="B11" s="15" t="s">
        <v>12</v>
      </c>
      <c r="C11" s="52">
        <f t="shared" ref="C11:H11" si="25">SUM(C12:C15)</f>
        <v>730367</v>
      </c>
      <c r="D11" s="52">
        <f t="shared" si="25"/>
        <v>352684.2</v>
      </c>
      <c r="E11" s="52">
        <f t="shared" si="25"/>
        <v>239693.2</v>
      </c>
      <c r="F11" s="52">
        <f t="shared" si="25"/>
        <v>69358</v>
      </c>
      <c r="G11" s="52">
        <f t="shared" si="25"/>
        <v>68631.600000000006</v>
      </c>
      <c r="H11" s="52">
        <f t="shared" si="25"/>
        <v>319997.97800000006</v>
      </c>
      <c r="I11" s="52">
        <f>SUM(I12:I15)</f>
        <v>157979.18199999997</v>
      </c>
      <c r="J11" s="52">
        <f t="shared" ref="J11:L11" si="26">SUM(J12:J15)</f>
        <v>0</v>
      </c>
      <c r="K11" s="52">
        <f t="shared" si="26"/>
        <v>0</v>
      </c>
      <c r="L11" s="52">
        <f t="shared" si="26"/>
        <v>477977.16000000003</v>
      </c>
      <c r="M11" s="17">
        <f>C11-L11</f>
        <v>252389.83999999997</v>
      </c>
      <c r="N11" s="19">
        <f t="shared" si="2"/>
        <v>0.9073215584934059</v>
      </c>
      <c r="O11" s="19">
        <f t="shared" si="2"/>
        <v>0.65908912726769042</v>
      </c>
      <c r="P11" s="19">
        <f t="shared" si="2"/>
        <v>0</v>
      </c>
      <c r="Q11" s="19">
        <f t="shared" si="2"/>
        <v>0</v>
      </c>
      <c r="R11" s="19">
        <f t="shared" si="4"/>
        <v>0.65443422279484154</v>
      </c>
      <c r="T11" s="20"/>
      <c r="U11" s="21"/>
    </row>
    <row r="12" spans="1:21" s="13" customFormat="1" ht="14.25">
      <c r="B12" s="26" t="s">
        <v>43</v>
      </c>
      <c r="C12" s="60">
        <f t="shared" ref="C12:C15" si="27">SUM(D12:G12)</f>
        <v>275000</v>
      </c>
      <c r="D12" s="23">
        <v>158600</v>
      </c>
      <c r="E12" s="23">
        <v>116400</v>
      </c>
      <c r="F12" s="23">
        <v>0</v>
      </c>
      <c r="G12" s="23">
        <v>0</v>
      </c>
      <c r="H12" s="23">
        <f>127834.28+22761*1.22+20835*1.22</f>
        <v>181021.40000000002</v>
      </c>
      <c r="I12" s="23">
        <v>51166.799999999988</v>
      </c>
      <c r="J12" s="59"/>
      <c r="K12" s="59"/>
      <c r="L12" s="23">
        <f>SUM(H12:K12)</f>
        <v>232188.2</v>
      </c>
      <c r="M12" s="23">
        <f t="shared" si="3"/>
        <v>42811.799999999988</v>
      </c>
      <c r="N12" s="24">
        <f t="shared" si="2"/>
        <v>1.1413707440100884</v>
      </c>
      <c r="O12" s="25">
        <f t="shared" si="2"/>
        <v>0.43957731958762875</v>
      </c>
      <c r="P12" s="25">
        <f t="shared" si="2"/>
        <v>0</v>
      </c>
      <c r="Q12" s="25">
        <f t="shared" si="2"/>
        <v>0</v>
      </c>
      <c r="R12" s="25">
        <f t="shared" si="4"/>
        <v>0.84432072727272733</v>
      </c>
      <c r="S12" s="62" t="s">
        <v>65</v>
      </c>
      <c r="T12" s="20"/>
      <c r="U12" s="21"/>
    </row>
    <row r="13" spans="1:21" s="13" customFormat="1" ht="14.25">
      <c r="B13" s="26" t="s">
        <v>44</v>
      </c>
      <c r="C13" s="51">
        <f t="shared" si="27"/>
        <v>64915</v>
      </c>
      <c r="D13" s="22">
        <v>64915</v>
      </c>
      <c r="E13" s="22">
        <v>0</v>
      </c>
      <c r="F13" s="22">
        <v>0</v>
      </c>
      <c r="G13" s="22">
        <v>0</v>
      </c>
      <c r="H13" s="23">
        <f>47130.55+((4827.6+8410)*1.22)</f>
        <v>63280.422000000006</v>
      </c>
      <c r="I13" s="23">
        <v>1379.5779999999941</v>
      </c>
      <c r="J13" s="23"/>
      <c r="K13" s="23"/>
      <c r="L13" s="23">
        <f t="shared" ref="L13:L15" si="28">SUM(H13:K13)</f>
        <v>64660</v>
      </c>
      <c r="M13" s="22">
        <f t="shared" si="3"/>
        <v>255</v>
      </c>
      <c r="N13" s="25">
        <f t="shared" si="2"/>
        <v>0.97481971809289081</v>
      </c>
      <c r="O13" s="25">
        <f t="shared" si="2"/>
        <v>0</v>
      </c>
      <c r="P13" s="25">
        <f t="shared" si="2"/>
        <v>0</v>
      </c>
      <c r="Q13" s="25">
        <f t="shared" si="2"/>
        <v>0</v>
      </c>
      <c r="R13" s="25">
        <f t="shared" si="4"/>
        <v>0.99607178618193026</v>
      </c>
      <c r="S13" s="13" t="s">
        <v>66</v>
      </c>
      <c r="T13" s="20"/>
      <c r="U13" s="21"/>
    </row>
    <row r="14" spans="1:21" s="13" customFormat="1" ht="14.25">
      <c r="B14" s="26" t="s">
        <v>45</v>
      </c>
      <c r="C14" s="60">
        <f t="shared" si="27"/>
        <v>305000</v>
      </c>
      <c r="D14" s="23">
        <v>106750</v>
      </c>
      <c r="E14" s="23">
        <v>106750</v>
      </c>
      <c r="F14" s="23">
        <v>45750</v>
      </c>
      <c r="G14" s="23">
        <v>45750</v>
      </c>
      <c r="H14" s="23">
        <f>22604.16+19261.8*1.22+5880*1.22</f>
        <v>53277.155999999995</v>
      </c>
      <c r="I14" s="23">
        <v>83374.804000000004</v>
      </c>
      <c r="J14" s="23"/>
      <c r="K14" s="23"/>
      <c r="L14" s="23">
        <f t="shared" si="28"/>
        <v>136651.96</v>
      </c>
      <c r="M14" s="23">
        <f t="shared" si="3"/>
        <v>168348.04</v>
      </c>
      <c r="N14" s="24">
        <f t="shared" si="2"/>
        <v>0.49908342857142851</v>
      </c>
      <c r="O14" s="24">
        <f t="shared" si="2"/>
        <v>0.78102860889929748</v>
      </c>
      <c r="P14" s="24">
        <f t="shared" si="2"/>
        <v>0</v>
      </c>
      <c r="Q14" s="24">
        <f t="shared" si="2"/>
        <v>0</v>
      </c>
      <c r="R14" s="24">
        <f t="shared" si="4"/>
        <v>0.44803921311475409</v>
      </c>
      <c r="S14" s="13" t="s">
        <v>67</v>
      </c>
      <c r="T14" s="20"/>
      <c r="U14" s="21"/>
    </row>
    <row r="15" spans="1:21" s="13" customFormat="1" ht="14.25">
      <c r="A15" s="13">
        <v>1</v>
      </c>
      <c r="B15" s="26" t="s">
        <v>41</v>
      </c>
      <c r="C15" s="51">
        <f t="shared" si="27"/>
        <v>85452</v>
      </c>
      <c r="D15" s="22">
        <v>22419.200000000001</v>
      </c>
      <c r="E15" s="22">
        <v>16543.199999999997</v>
      </c>
      <c r="F15" s="22">
        <v>23608</v>
      </c>
      <c r="G15" s="22">
        <v>22881.599999999999</v>
      </c>
      <c r="H15" s="23">
        <v>22419</v>
      </c>
      <c r="I15" s="63">
        <v>22058</v>
      </c>
      <c r="J15" s="23"/>
      <c r="K15" s="23"/>
      <c r="L15" s="23">
        <f t="shared" si="28"/>
        <v>44477</v>
      </c>
      <c r="M15" s="22">
        <f t="shared" si="3"/>
        <v>40975</v>
      </c>
      <c r="N15" s="25">
        <f t="shared" si="2"/>
        <v>0.99999107907507845</v>
      </c>
      <c r="O15" s="25">
        <f t="shared" si="2"/>
        <v>1.3333575124522465</v>
      </c>
      <c r="P15" s="25">
        <f t="shared" si="2"/>
        <v>0</v>
      </c>
      <c r="Q15" s="25">
        <f t="shared" si="2"/>
        <v>0</v>
      </c>
      <c r="R15" s="25">
        <f t="shared" si="4"/>
        <v>0.52049103590319712</v>
      </c>
      <c r="T15" s="20"/>
      <c r="U15" s="21"/>
    </row>
    <row r="16" spans="1:21" s="13" customFormat="1" ht="15">
      <c r="B16" s="15" t="s">
        <v>32</v>
      </c>
      <c r="C16" s="52">
        <f>SUM(C17:C25)</f>
        <v>1054703.3752000001</v>
      </c>
      <c r="D16" s="52">
        <f t="shared" ref="D16:L16" si="29">SUM(D17:D25)</f>
        <v>309104.87720000005</v>
      </c>
      <c r="E16" s="52">
        <f t="shared" si="29"/>
        <v>274308.77720000001</v>
      </c>
      <c r="F16" s="52">
        <f t="shared" si="29"/>
        <v>236008.06040000002</v>
      </c>
      <c r="G16" s="52">
        <f t="shared" si="29"/>
        <v>235281.66040000002</v>
      </c>
      <c r="H16" s="52">
        <f>SUM(H17:H25)</f>
        <v>120513.2</v>
      </c>
      <c r="I16" s="52">
        <f>SUM(I17:I25)</f>
        <v>252548.93000000002</v>
      </c>
      <c r="J16" s="52">
        <f t="shared" si="29"/>
        <v>0</v>
      </c>
      <c r="K16" s="52">
        <f t="shared" si="29"/>
        <v>0</v>
      </c>
      <c r="L16" s="52">
        <f t="shared" si="29"/>
        <v>373062.13</v>
      </c>
      <c r="M16" s="17">
        <f t="shared" si="3"/>
        <v>681641.24520000012</v>
      </c>
      <c r="N16" s="19">
        <f t="shared" si="2"/>
        <v>0.38987802810378941</v>
      </c>
      <c r="O16" s="19">
        <f t="shared" si="2"/>
        <v>0.92067389376995845</v>
      </c>
      <c r="P16" s="19">
        <f t="shared" si="2"/>
        <v>0</v>
      </c>
      <c r="Q16" s="19">
        <f t="shared" si="2"/>
        <v>0</v>
      </c>
      <c r="R16" s="19">
        <f t="shared" si="4"/>
        <v>0.35371284360330923</v>
      </c>
      <c r="T16" s="20"/>
      <c r="U16" s="21"/>
    </row>
    <row r="17" spans="1:21" s="13" customFormat="1" ht="14.25">
      <c r="B17" s="26" t="s">
        <v>46</v>
      </c>
      <c r="C17" s="55">
        <f t="shared" ref="C17:C25" si="30">SUM(D17:G17)</f>
        <v>79999.06</v>
      </c>
      <c r="D17" s="56">
        <v>39999.53</v>
      </c>
      <c r="E17" s="56">
        <v>39999.53</v>
      </c>
      <c r="F17" s="57">
        <v>0</v>
      </c>
      <c r="G17" s="57">
        <v>0</v>
      </c>
      <c r="H17" s="57">
        <v>3432.04</v>
      </c>
      <c r="I17" s="57">
        <v>16305.34</v>
      </c>
      <c r="J17" s="57"/>
      <c r="K17" s="57"/>
      <c r="L17" s="23">
        <f t="shared" ref="L17:L25" si="31">SUM(H17:K17)</f>
        <v>19737.38</v>
      </c>
      <c r="M17" s="57">
        <f t="shared" si="3"/>
        <v>60261.679999999993</v>
      </c>
      <c r="N17" s="58">
        <f t="shared" si="2"/>
        <v>8.5802008173596039E-2</v>
      </c>
      <c r="O17" s="58">
        <f t="shared" si="2"/>
        <v>0.40763828974990457</v>
      </c>
      <c r="P17" s="58">
        <f t="shared" si="2"/>
        <v>0</v>
      </c>
      <c r="Q17" s="58">
        <f t="shared" si="2"/>
        <v>0</v>
      </c>
      <c r="R17" s="58">
        <f t="shared" si="4"/>
        <v>0.24672014896175032</v>
      </c>
      <c r="S17" s="13" t="s">
        <v>68</v>
      </c>
      <c r="T17" s="20"/>
      <c r="U17" s="21"/>
    </row>
    <row r="18" spans="1:21" s="13" customFormat="1" ht="14.25">
      <c r="B18" s="26" t="s">
        <v>47</v>
      </c>
      <c r="C18" s="51">
        <f t="shared" si="30"/>
        <v>74999.5</v>
      </c>
      <c r="D18" s="53">
        <v>73017</v>
      </c>
      <c r="E18" s="53">
        <v>1982.5</v>
      </c>
      <c r="F18" s="29">
        <v>0</v>
      </c>
      <c r="G18" s="29">
        <v>0</v>
      </c>
      <c r="H18" s="29">
        <v>73009.22</v>
      </c>
      <c r="I18" s="29">
        <v>1893.0200000000041</v>
      </c>
      <c r="J18" s="29"/>
      <c r="K18" s="29"/>
      <c r="L18" s="23">
        <f t="shared" si="31"/>
        <v>74902.240000000005</v>
      </c>
      <c r="M18" s="29">
        <f t="shared" ref="M18:M21" si="32">C18-L18</f>
        <v>97.259999999994761</v>
      </c>
      <c r="N18" s="54">
        <f t="shared" ref="N18:N21" si="33">IFERROR(H18/D18,0)</f>
        <v>0.99989344947067127</v>
      </c>
      <c r="O18" s="54">
        <f t="shared" ref="O18:O21" si="34">IFERROR(I18/E18,0)</f>
        <v>0.95486506935687465</v>
      </c>
      <c r="P18" s="54">
        <f t="shared" ref="P18:P21" si="35">IFERROR(J18/F18,0)</f>
        <v>0</v>
      </c>
      <c r="Q18" s="54">
        <f t="shared" ref="Q18:Q21" si="36">IFERROR(K18/G18,0)</f>
        <v>0</v>
      </c>
      <c r="R18" s="54">
        <f t="shared" ref="R18:R21" si="37">IFERROR((H18+I18+J18+K18)/(D18+E18+F18+G18),0)</f>
        <v>0.99870319135460905</v>
      </c>
      <c r="S18" s="13" t="s">
        <v>69</v>
      </c>
      <c r="T18" s="20"/>
      <c r="U18" s="21"/>
    </row>
    <row r="19" spans="1:21" s="13" customFormat="1" ht="14.25">
      <c r="B19" s="26" t="s">
        <v>48</v>
      </c>
      <c r="C19" s="51">
        <f t="shared" si="30"/>
        <v>184999.58</v>
      </c>
      <c r="D19" s="53">
        <v>92499.79</v>
      </c>
      <c r="E19" s="53">
        <v>92499.79</v>
      </c>
      <c r="F19" s="29">
        <v>0</v>
      </c>
      <c r="G19" s="29">
        <v>0</v>
      </c>
      <c r="H19" s="29">
        <v>17587.62</v>
      </c>
      <c r="I19" s="29">
        <v>23338.35</v>
      </c>
      <c r="J19" s="29"/>
      <c r="K19" s="29"/>
      <c r="L19" s="23">
        <f t="shared" si="31"/>
        <v>40925.97</v>
      </c>
      <c r="M19" s="29">
        <f t="shared" si="32"/>
        <v>144073.60999999999</v>
      </c>
      <c r="N19" s="54">
        <f t="shared" si="33"/>
        <v>0.19013686409450228</v>
      </c>
      <c r="O19" s="54">
        <f t="shared" si="34"/>
        <v>0.25230705929170216</v>
      </c>
      <c r="P19" s="54">
        <f t="shared" si="35"/>
        <v>0</v>
      </c>
      <c r="Q19" s="54">
        <f t="shared" si="36"/>
        <v>0</v>
      </c>
      <c r="R19" s="54">
        <f t="shared" si="37"/>
        <v>0.22122196169310224</v>
      </c>
      <c r="S19" s="13" t="s">
        <v>70</v>
      </c>
      <c r="T19" s="20"/>
      <c r="U19" s="21"/>
    </row>
    <row r="20" spans="1:21" s="13" customFormat="1" ht="28.5">
      <c r="B20" s="26" t="s">
        <v>49</v>
      </c>
      <c r="C20" s="51">
        <f t="shared" si="30"/>
        <v>198000.00080000001</v>
      </c>
      <c r="D20" s="53">
        <v>0</v>
      </c>
      <c r="E20" s="53">
        <v>0</v>
      </c>
      <c r="F20" s="29">
        <v>99000.000400000004</v>
      </c>
      <c r="G20" s="29">
        <v>99000.000400000004</v>
      </c>
      <c r="H20" s="29">
        <v>0</v>
      </c>
      <c r="I20" s="29">
        <v>40931.81</v>
      </c>
      <c r="J20" s="29"/>
      <c r="K20" s="29"/>
      <c r="L20" s="23">
        <f t="shared" si="31"/>
        <v>40931.81</v>
      </c>
      <c r="M20" s="29">
        <f t="shared" si="32"/>
        <v>157068.19080000001</v>
      </c>
      <c r="N20" s="54">
        <f t="shared" si="33"/>
        <v>0</v>
      </c>
      <c r="O20" s="54">
        <f t="shared" si="34"/>
        <v>0</v>
      </c>
      <c r="P20" s="54">
        <f t="shared" si="35"/>
        <v>0</v>
      </c>
      <c r="Q20" s="54">
        <f t="shared" si="36"/>
        <v>0</v>
      </c>
      <c r="R20" s="54">
        <f t="shared" si="37"/>
        <v>0.20672631229605529</v>
      </c>
      <c r="S20" s="13" t="s">
        <v>71</v>
      </c>
      <c r="T20" s="20"/>
      <c r="U20" s="21"/>
    </row>
    <row r="21" spans="1:21" s="13" customFormat="1" ht="14.25">
      <c r="B21" s="26" t="s">
        <v>50</v>
      </c>
      <c r="C21" s="51">
        <f t="shared" si="30"/>
        <v>61800</v>
      </c>
      <c r="D21" s="53">
        <v>0</v>
      </c>
      <c r="E21" s="53">
        <v>12200</v>
      </c>
      <c r="F21" s="29">
        <v>24800</v>
      </c>
      <c r="G21" s="29">
        <v>24800</v>
      </c>
      <c r="H21" s="29">
        <v>0</v>
      </c>
      <c r="I21" s="29">
        <v>5648.14</v>
      </c>
      <c r="J21" s="29"/>
      <c r="K21" s="29"/>
      <c r="L21" s="23">
        <f t="shared" si="31"/>
        <v>5648.14</v>
      </c>
      <c r="M21" s="29">
        <f t="shared" si="32"/>
        <v>56151.86</v>
      </c>
      <c r="N21" s="54">
        <f t="shared" si="33"/>
        <v>0</v>
      </c>
      <c r="O21" s="54">
        <f t="shared" si="34"/>
        <v>0.46296229508196723</v>
      </c>
      <c r="P21" s="54">
        <f t="shared" si="35"/>
        <v>0</v>
      </c>
      <c r="Q21" s="54">
        <f t="shared" si="36"/>
        <v>0</v>
      </c>
      <c r="R21" s="54">
        <f t="shared" si="37"/>
        <v>9.1393851132686083E-2</v>
      </c>
      <c r="S21" s="13" t="s">
        <v>72</v>
      </c>
      <c r="T21" s="20"/>
      <c r="U21" s="21"/>
    </row>
    <row r="22" spans="1:21" s="13" customFormat="1" ht="14.25">
      <c r="B22" s="26" t="s">
        <v>51</v>
      </c>
      <c r="C22" s="51">
        <f t="shared" si="30"/>
        <v>162338.7144</v>
      </c>
      <c r="D22" s="53">
        <v>81169.357199999999</v>
      </c>
      <c r="E22" s="53">
        <v>81169.357199999999</v>
      </c>
      <c r="F22" s="29">
        <v>0</v>
      </c>
      <c r="G22" s="29">
        <v>0</v>
      </c>
      <c r="H22" s="29">
        <v>801.82</v>
      </c>
      <c r="I22" s="29">
        <v>31414.980000000003</v>
      </c>
      <c r="J22" s="29"/>
      <c r="K22" s="29"/>
      <c r="L22" s="23">
        <f t="shared" si="31"/>
        <v>32216.800000000003</v>
      </c>
      <c r="M22" s="29">
        <f t="shared" si="3"/>
        <v>130121.91439999999</v>
      </c>
      <c r="N22" s="54">
        <f t="shared" si="2"/>
        <v>9.8783583812833264E-3</v>
      </c>
      <c r="O22" s="54">
        <f t="shared" si="2"/>
        <v>0.38703004537283686</v>
      </c>
      <c r="P22" s="54">
        <f t="shared" si="2"/>
        <v>0</v>
      </c>
      <c r="Q22" s="54">
        <f t="shared" si="2"/>
        <v>0</v>
      </c>
      <c r="R22" s="54">
        <f t="shared" si="4"/>
        <v>0.19845420187706009</v>
      </c>
      <c r="S22" s="13" t="s">
        <v>73</v>
      </c>
      <c r="T22" s="20"/>
      <c r="U22" s="21"/>
    </row>
    <row r="23" spans="1:21" s="13" customFormat="1" ht="14.25">
      <c r="B23" s="26" t="s">
        <v>52</v>
      </c>
      <c r="C23" s="51">
        <f t="shared" si="30"/>
        <v>95000.12</v>
      </c>
      <c r="D23" s="53">
        <v>0</v>
      </c>
      <c r="E23" s="53">
        <v>0</v>
      </c>
      <c r="F23" s="29">
        <v>47500.06</v>
      </c>
      <c r="G23" s="29">
        <v>47500.06</v>
      </c>
      <c r="H23" s="29">
        <v>0</v>
      </c>
      <c r="I23" s="29">
        <v>8214.75</v>
      </c>
      <c r="J23" s="29"/>
      <c r="K23" s="29"/>
      <c r="L23" s="23">
        <f t="shared" si="31"/>
        <v>8214.75</v>
      </c>
      <c r="M23" s="29">
        <f t="shared" ref="M23" si="38">C23-L23</f>
        <v>86785.37</v>
      </c>
      <c r="N23" s="54">
        <f t="shared" ref="N23" si="39">IFERROR(H23/D23,0)</f>
        <v>0</v>
      </c>
      <c r="O23" s="54">
        <f t="shared" ref="O23" si="40">IFERROR(I23/E23,0)</f>
        <v>0</v>
      </c>
      <c r="P23" s="54">
        <f t="shared" ref="P23" si="41">IFERROR(J23/F23,0)</f>
        <v>0</v>
      </c>
      <c r="Q23" s="54">
        <f t="shared" ref="Q23" si="42">IFERROR(K23/G23,0)</f>
        <v>0</v>
      </c>
      <c r="R23" s="54">
        <f t="shared" ref="R23" si="43">IFERROR((H23+I23+J23+K23)/(D23+E23+F23+G23),0)</f>
        <v>8.6470943405124123E-2</v>
      </c>
      <c r="S23" s="13" t="s">
        <v>74</v>
      </c>
      <c r="T23" s="20"/>
      <c r="U23" s="21"/>
    </row>
    <row r="24" spans="1:21" s="13" customFormat="1" ht="14.25">
      <c r="B24" s="26" t="s">
        <v>53</v>
      </c>
      <c r="C24" s="51">
        <f t="shared" si="30"/>
        <v>106600</v>
      </c>
      <c r="D24" s="53">
        <v>0</v>
      </c>
      <c r="E24" s="53">
        <v>24400</v>
      </c>
      <c r="F24" s="29">
        <v>41100</v>
      </c>
      <c r="G24" s="29">
        <v>41100</v>
      </c>
      <c r="H24" s="29">
        <f>ROUND(2675*1.22,2)</f>
        <v>3263.5</v>
      </c>
      <c r="I24" s="29">
        <v>102744.54000000001</v>
      </c>
      <c r="J24" s="29"/>
      <c r="K24" s="29"/>
      <c r="L24" s="23">
        <f t="shared" si="31"/>
        <v>106008.04000000001</v>
      </c>
      <c r="M24" s="29">
        <f t="shared" ref="M24" si="44">C24-L24</f>
        <v>591.95999999999185</v>
      </c>
      <c r="N24" s="54">
        <f t="shared" ref="N24" si="45">IFERROR(H24/D24,0)</f>
        <v>0</v>
      </c>
      <c r="O24" s="54">
        <f t="shared" ref="O24" si="46">IFERROR(I24/E24,0)</f>
        <v>4.2108418032786892</v>
      </c>
      <c r="P24" s="54">
        <f t="shared" ref="P24" si="47">IFERROR(J24/F24,0)</f>
        <v>0</v>
      </c>
      <c r="Q24" s="54">
        <f t="shared" ref="Q24" si="48">IFERROR(K24/G24,0)</f>
        <v>0</v>
      </c>
      <c r="R24" s="54">
        <f t="shared" ref="R24" si="49">IFERROR((H24+I24+J24+K24)/(D24+E24+F24+G24),0)</f>
        <v>0.99444690431519711</v>
      </c>
      <c r="S24" s="13" t="s">
        <v>75</v>
      </c>
      <c r="T24" s="20"/>
      <c r="U24" s="21"/>
    </row>
    <row r="25" spans="1:21" s="13" customFormat="1" ht="14.25">
      <c r="A25" s="13">
        <v>1</v>
      </c>
      <c r="B25" s="26" t="s">
        <v>41</v>
      </c>
      <c r="C25" s="51">
        <f t="shared" si="30"/>
        <v>90966.399999999994</v>
      </c>
      <c r="D25" s="53">
        <v>22419.200000000001</v>
      </c>
      <c r="E25" s="53">
        <v>22057.599999999999</v>
      </c>
      <c r="F25" s="29">
        <v>23608</v>
      </c>
      <c r="G25" s="29">
        <v>22881.599999999999</v>
      </c>
      <c r="H25" s="29">
        <v>22419</v>
      </c>
      <c r="I25" s="64">
        <v>22058</v>
      </c>
      <c r="J25" s="29"/>
      <c r="K25" s="29"/>
      <c r="L25" s="23">
        <f t="shared" si="31"/>
        <v>44477</v>
      </c>
      <c r="M25" s="29">
        <f t="shared" si="3"/>
        <v>46489.399999999994</v>
      </c>
      <c r="N25" s="54">
        <f t="shared" si="2"/>
        <v>0.99999107907507845</v>
      </c>
      <c r="O25" s="54">
        <f t="shared" si="2"/>
        <v>1.0000181343391847</v>
      </c>
      <c r="P25" s="54">
        <f t="shared" si="2"/>
        <v>0</v>
      </c>
      <c r="Q25" s="54">
        <f t="shared" si="2"/>
        <v>0</v>
      </c>
      <c r="R25" s="54">
        <f t="shared" si="4"/>
        <v>0.48893877299750238</v>
      </c>
      <c r="T25" s="20"/>
      <c r="U25" s="21"/>
    </row>
    <row r="26" spans="1:21" s="13" customFormat="1" ht="15">
      <c r="B26" s="15" t="s">
        <v>54</v>
      </c>
      <c r="C26" s="16">
        <f>SUM(C27)</f>
        <v>146299.96</v>
      </c>
      <c r="D26" s="16">
        <f t="shared" ref="D26" si="50">SUM(D27)</f>
        <v>73149.98</v>
      </c>
      <c r="E26" s="16">
        <f t="shared" ref="E26" si="51">SUM(E27)</f>
        <v>73149.98</v>
      </c>
      <c r="F26" s="16">
        <f t="shared" ref="F26" si="52">SUM(F27)</f>
        <v>0</v>
      </c>
      <c r="G26" s="16">
        <f t="shared" ref="G26" si="53">SUM(G27)</f>
        <v>0</v>
      </c>
      <c r="H26" s="18">
        <f>SUM(H27:H27)</f>
        <v>54107.83</v>
      </c>
      <c r="I26" s="18">
        <f>SUM(I27:I27)</f>
        <v>55544.639999999999</v>
      </c>
      <c r="J26" s="18">
        <f>SUM(J27:J27)</f>
        <v>0</v>
      </c>
      <c r="K26" s="18">
        <f>SUM(K27:K27)</f>
        <v>0</v>
      </c>
      <c r="L26" s="18">
        <f>SUM(L27:L27)</f>
        <v>109652.47</v>
      </c>
      <c r="M26" s="18">
        <f t="shared" ref="M26:M29" si="54">C26-L26</f>
        <v>36647.489999999991</v>
      </c>
      <c r="N26" s="19">
        <f t="shared" ref="N26:N29" si="55">IFERROR(H26/D26,0)</f>
        <v>0.73968345582596207</v>
      </c>
      <c r="O26" s="19">
        <f t="shared" ref="O26:O29" si="56">IFERROR(I26/E26,0)</f>
        <v>0.75932542975404782</v>
      </c>
      <c r="P26" s="19">
        <f t="shared" ref="P26:P29" si="57">IFERROR(J26/F26,0)</f>
        <v>0</v>
      </c>
      <c r="Q26" s="19">
        <f t="shared" ref="Q26:Q29" si="58">IFERROR(K26/G26,0)</f>
        <v>0</v>
      </c>
      <c r="R26" s="19">
        <f t="shared" ref="R26:R29" si="59">IFERROR((H26+I26+J26+K26)/(D26+E26+F26+G26),0)</f>
        <v>0.74950444279000494</v>
      </c>
      <c r="T26" s="20"/>
      <c r="U26" s="21"/>
    </row>
    <row r="27" spans="1:21" s="13" customFormat="1" ht="28.5">
      <c r="B27" s="26" t="s">
        <v>55</v>
      </c>
      <c r="C27" s="51">
        <f>SUM(D27:G27)</f>
        <v>146299.96</v>
      </c>
      <c r="D27" s="31">
        <v>73149.98</v>
      </c>
      <c r="E27" s="31">
        <v>73149.98</v>
      </c>
      <c r="F27" s="32">
        <v>0</v>
      </c>
      <c r="G27" s="32">
        <v>0</v>
      </c>
      <c r="H27" s="33">
        <v>54107.83</v>
      </c>
      <c r="I27" s="33">
        <v>55544.639999999999</v>
      </c>
      <c r="J27" s="33"/>
      <c r="K27" s="23"/>
      <c r="L27" s="23">
        <f t="shared" ref="L27" si="60">SUM(H27:K27)</f>
        <v>109652.47</v>
      </c>
      <c r="M27" s="32">
        <f t="shared" si="54"/>
        <v>36647.489999999991</v>
      </c>
      <c r="N27" s="34">
        <f t="shared" si="55"/>
        <v>0.73968345582596207</v>
      </c>
      <c r="O27" s="34">
        <f t="shared" si="56"/>
        <v>0.75932542975404782</v>
      </c>
      <c r="P27" s="34">
        <f t="shared" si="57"/>
        <v>0</v>
      </c>
      <c r="Q27" s="34">
        <f t="shared" si="58"/>
        <v>0</v>
      </c>
      <c r="R27" s="34">
        <f t="shared" si="59"/>
        <v>0.74950444279000494</v>
      </c>
      <c r="S27" s="62" t="s">
        <v>76</v>
      </c>
      <c r="T27" s="20"/>
      <c r="U27" s="21"/>
    </row>
    <row r="28" spans="1:21" s="13" customFormat="1" ht="15">
      <c r="B28" s="15" t="s">
        <v>56</v>
      </c>
      <c r="C28" s="16">
        <f>SUM(C29)</f>
        <v>58293.599999999999</v>
      </c>
      <c r="D28" s="16">
        <f t="shared" ref="D28" si="61">SUM(D29)</f>
        <v>0</v>
      </c>
      <c r="E28" s="16">
        <f t="shared" ref="E28" si="62">SUM(E29)</f>
        <v>11804</v>
      </c>
      <c r="F28" s="16">
        <f t="shared" ref="F28" si="63">SUM(F29)</f>
        <v>23608</v>
      </c>
      <c r="G28" s="16">
        <f t="shared" ref="G28" si="64">SUM(G29)</f>
        <v>22881.599999999999</v>
      </c>
      <c r="H28" s="18">
        <f>SUM(H29:H29)</f>
        <v>0</v>
      </c>
      <c r="I28" s="18">
        <f>SUM(I29:I29)</f>
        <v>0</v>
      </c>
      <c r="J28" s="18">
        <f>SUM(J29:J29)</f>
        <v>0</v>
      </c>
      <c r="K28" s="18">
        <f>SUM(K29:K29)</f>
        <v>0</v>
      </c>
      <c r="L28" s="18">
        <f>SUM(L29:L29)</f>
        <v>0</v>
      </c>
      <c r="M28" s="17">
        <f t="shared" si="54"/>
        <v>58293.599999999999</v>
      </c>
      <c r="N28" s="19">
        <f t="shared" si="55"/>
        <v>0</v>
      </c>
      <c r="O28" s="19">
        <f t="shared" si="56"/>
        <v>0</v>
      </c>
      <c r="P28" s="19">
        <f t="shared" si="57"/>
        <v>0</v>
      </c>
      <c r="Q28" s="19">
        <f t="shared" si="58"/>
        <v>0</v>
      </c>
      <c r="R28" s="19">
        <f t="shared" si="59"/>
        <v>0</v>
      </c>
      <c r="T28" s="20"/>
      <c r="U28" s="21"/>
    </row>
    <row r="29" spans="1:21" s="13" customFormat="1" ht="14.25">
      <c r="A29" s="13">
        <v>1</v>
      </c>
      <c r="B29" s="26" t="s">
        <v>41</v>
      </c>
      <c r="C29" s="51">
        <f>SUM(D29:G29)</f>
        <v>58293.599999999999</v>
      </c>
      <c r="D29" s="31"/>
      <c r="E29" s="31">
        <v>11804</v>
      </c>
      <c r="F29" s="32">
        <v>23608</v>
      </c>
      <c r="G29" s="32">
        <v>22881.599999999999</v>
      </c>
      <c r="H29" s="33">
        <v>0</v>
      </c>
      <c r="I29" s="65">
        <v>0</v>
      </c>
      <c r="J29" s="33"/>
      <c r="K29" s="23"/>
      <c r="L29" s="23">
        <f t="shared" ref="L29" si="65">SUM(H29:K29)</f>
        <v>0</v>
      </c>
      <c r="M29" s="32">
        <f t="shared" si="54"/>
        <v>58293.599999999999</v>
      </c>
      <c r="N29" s="34">
        <f t="shared" si="55"/>
        <v>0</v>
      </c>
      <c r="O29" s="34">
        <f t="shared" si="56"/>
        <v>0</v>
      </c>
      <c r="P29" s="34">
        <f t="shared" si="57"/>
        <v>0</v>
      </c>
      <c r="Q29" s="34">
        <f t="shared" si="58"/>
        <v>0</v>
      </c>
      <c r="R29" s="34">
        <f t="shared" si="59"/>
        <v>0</v>
      </c>
      <c r="T29" s="20"/>
      <c r="U29" s="21"/>
    </row>
    <row r="30" spans="1:21" s="13" customFormat="1" ht="15">
      <c r="B30" s="15" t="s">
        <v>34</v>
      </c>
      <c r="C30" s="16">
        <f>SUM(C31)</f>
        <v>65727.039999999994</v>
      </c>
      <c r="D30" s="16">
        <f t="shared" ref="D30:G30" si="66">SUM(D31)</f>
        <v>0</v>
      </c>
      <c r="E30" s="16">
        <f t="shared" si="66"/>
        <v>23599.68</v>
      </c>
      <c r="F30" s="16">
        <f t="shared" si="66"/>
        <v>21392.799999999999</v>
      </c>
      <c r="G30" s="16">
        <f t="shared" si="66"/>
        <v>20734.560000000001</v>
      </c>
      <c r="H30" s="18">
        <f>SUM(H31:H31)</f>
        <v>0</v>
      </c>
      <c r="I30" s="18">
        <f>SUM(I31:I31)</f>
        <v>5991</v>
      </c>
      <c r="J30" s="18">
        <f>SUM(J31:J31)</f>
        <v>0</v>
      </c>
      <c r="K30" s="18">
        <f>SUM(K31:K31)</f>
        <v>0</v>
      </c>
      <c r="L30" s="18">
        <f>SUM(L31:L31)</f>
        <v>5991</v>
      </c>
      <c r="M30" s="17">
        <f t="shared" si="3"/>
        <v>59736.039999999994</v>
      </c>
      <c r="N30" s="19">
        <f t="shared" si="2"/>
        <v>0</v>
      </c>
      <c r="O30" s="19">
        <f t="shared" si="2"/>
        <v>0.25385937436439815</v>
      </c>
      <c r="P30" s="19">
        <f t="shared" si="2"/>
        <v>0</v>
      </c>
      <c r="Q30" s="19">
        <f t="shared" si="2"/>
        <v>0</v>
      </c>
      <c r="R30" s="19">
        <f t="shared" si="4"/>
        <v>9.1149700336421668E-2</v>
      </c>
      <c r="T30" s="20"/>
      <c r="U30" s="21"/>
    </row>
    <row r="31" spans="1:21" s="13" customFormat="1" ht="14.25">
      <c r="A31" s="13">
        <v>1</v>
      </c>
      <c r="B31" s="26" t="s">
        <v>57</v>
      </c>
      <c r="C31" s="51">
        <f>SUM(D31:G31)</f>
        <v>65727.039999999994</v>
      </c>
      <c r="D31" s="31"/>
      <c r="E31" s="31">
        <v>23599.68</v>
      </c>
      <c r="F31" s="32">
        <v>21392.799999999999</v>
      </c>
      <c r="G31" s="32">
        <v>20734.560000000001</v>
      </c>
      <c r="H31" s="33">
        <v>0</v>
      </c>
      <c r="I31" s="65">
        <v>5991</v>
      </c>
      <c r="J31" s="33"/>
      <c r="K31" s="23"/>
      <c r="L31" s="23">
        <f t="shared" ref="L31" si="67">SUM(H31:K31)</f>
        <v>5991</v>
      </c>
      <c r="M31" s="32">
        <f t="shared" si="3"/>
        <v>59736.039999999994</v>
      </c>
      <c r="N31" s="34">
        <f t="shared" si="2"/>
        <v>0</v>
      </c>
      <c r="O31" s="34">
        <f t="shared" si="2"/>
        <v>0.25385937436439815</v>
      </c>
      <c r="P31" s="34">
        <f t="shared" si="2"/>
        <v>0</v>
      </c>
      <c r="Q31" s="34">
        <f t="shared" si="2"/>
        <v>0</v>
      </c>
      <c r="R31" s="34">
        <f t="shared" si="4"/>
        <v>9.1149700336421668E-2</v>
      </c>
      <c r="T31" s="20"/>
      <c r="U31" s="21"/>
    </row>
    <row r="32" spans="1:21" s="13" customFormat="1" ht="32.1" customHeight="1">
      <c r="A32" s="9"/>
      <c r="B32" s="35" t="s">
        <v>13</v>
      </c>
      <c r="C32" s="37">
        <f t="shared" ref="C32:G32" si="68">SUMIF($A$4:$A$31,"1",C4:C31)</f>
        <v>376465.47974999994</v>
      </c>
      <c r="D32" s="37">
        <f t="shared" si="68"/>
        <v>51622.149875000003</v>
      </c>
      <c r="E32" s="37">
        <f t="shared" si="68"/>
        <v>80788.22987499999</v>
      </c>
      <c r="F32" s="37">
        <f t="shared" si="68"/>
        <v>123809.47</v>
      </c>
      <c r="G32" s="37">
        <f t="shared" si="68"/>
        <v>120245.63</v>
      </c>
      <c r="H32" s="37">
        <f>SUMIF($A$4:$A$31,"1",H4:H31)</f>
        <v>61186</v>
      </c>
      <c r="I32" s="37">
        <f>SUMIF($A$4:$A$31,"1",I4:I31)</f>
        <v>85352.959999999992</v>
      </c>
      <c r="J32" s="37">
        <f t="shared" ref="J32:L32" si="69">SUMIF($A$4:$A$31,"1",J4:J31)</f>
        <v>0</v>
      </c>
      <c r="K32" s="37">
        <f t="shared" si="69"/>
        <v>0</v>
      </c>
      <c r="L32" s="37">
        <f t="shared" si="69"/>
        <v>146538.96</v>
      </c>
      <c r="M32" s="37">
        <f>C32-H32-I32-J32-K32</f>
        <v>229926.51974999995</v>
      </c>
      <c r="N32" s="38">
        <f t="shared" ref="N32:O34" si="70">H32/D32</f>
        <v>1.1852664049861987</v>
      </c>
      <c r="O32" s="38">
        <f t="shared" si="70"/>
        <v>1.0565024154145077</v>
      </c>
      <c r="P32" s="38"/>
      <c r="Q32" s="38"/>
      <c r="R32" s="38">
        <f>IFERROR((H32+I32+J32+K32)/(D32+E32+F32+G32),0)</f>
        <v>0.38924939438620598</v>
      </c>
      <c r="T32" s="20"/>
      <c r="U32" s="21"/>
    </row>
    <row r="33" spans="2:21" ht="15.95" customHeight="1">
      <c r="B33" s="39" t="s">
        <v>14</v>
      </c>
      <c r="C33" s="41">
        <f>SUM(D33:G33)</f>
        <v>2170415.3352000001</v>
      </c>
      <c r="D33" s="41">
        <f>D34-D32</f>
        <v>690100.65720000002</v>
      </c>
      <c r="E33" s="41">
        <f>E34-E32</f>
        <v>670551.15720000013</v>
      </c>
      <c r="F33" s="41">
        <f t="shared" ref="F33:G33" si="71">F34-F32</f>
        <v>404881.76040000014</v>
      </c>
      <c r="G33" s="41">
        <f t="shared" si="71"/>
        <v>404881.76040000003</v>
      </c>
      <c r="H33" s="41">
        <f>H34-H32</f>
        <v>449781.00800000009</v>
      </c>
      <c r="I33" s="41">
        <f>I34-I32</f>
        <v>421956.75199999998</v>
      </c>
      <c r="J33" s="41">
        <f t="shared" ref="J33" si="72">J34-J32</f>
        <v>0</v>
      </c>
      <c r="K33" s="41">
        <f>K34-K32</f>
        <v>0</v>
      </c>
      <c r="L33" s="41">
        <f>L34-L32</f>
        <v>871737.76</v>
      </c>
      <c r="M33" s="41">
        <f>C33-H33-I33-J33-K33</f>
        <v>1298677.5751999998</v>
      </c>
      <c r="N33" s="42">
        <f t="shared" si="70"/>
        <v>0.65176145437236965</v>
      </c>
      <c r="O33" s="42">
        <f t="shared" si="70"/>
        <v>0.62926854643268659</v>
      </c>
      <c r="P33" s="42"/>
      <c r="Q33" s="42"/>
      <c r="R33" s="42">
        <f t="shared" si="4"/>
        <v>0.40164559559733798</v>
      </c>
      <c r="T33" s="20"/>
      <c r="U33" s="21"/>
    </row>
    <row r="34" spans="2:21" ht="15.95" customHeight="1">
      <c r="B34" s="43" t="s">
        <v>15</v>
      </c>
      <c r="C34" s="44">
        <f>SUM(D34:G34)</f>
        <v>2546880.81495</v>
      </c>
      <c r="D34" s="44">
        <f>D4+D7+D11+D16+D26+D28+D30</f>
        <v>741722.80707500002</v>
      </c>
      <c r="E34" s="44">
        <f t="shared" ref="E34:G34" si="73">E4+E7+E11+E16+E26+E28+E30</f>
        <v>751339.38707500009</v>
      </c>
      <c r="F34" s="44">
        <f t="shared" si="73"/>
        <v>528691.23040000012</v>
      </c>
      <c r="G34" s="44">
        <f t="shared" si="73"/>
        <v>525127.39040000003</v>
      </c>
      <c r="H34" s="44">
        <f>H4+H11+H16+H30+H28+H26+H7</f>
        <v>510967.00800000009</v>
      </c>
      <c r="I34" s="44">
        <f>I4+I11+I16+I30+I28+I26+I7</f>
        <v>507309.712</v>
      </c>
      <c r="J34" s="44">
        <f>J4+J11+J16+J30</f>
        <v>0</v>
      </c>
      <c r="K34" s="44">
        <f>K4+K11+K16+K30</f>
        <v>0</v>
      </c>
      <c r="L34" s="44">
        <f>L4+L11+L16+L30+L7+L26+L28</f>
        <v>1018276.72</v>
      </c>
      <c r="M34" s="44">
        <f>C34-H34-I34-J34-K34</f>
        <v>1528604.0949499998</v>
      </c>
      <c r="N34" s="45">
        <f t="shared" si="70"/>
        <v>0.6888921348057363</v>
      </c>
      <c r="O34" s="45">
        <f t="shared" si="70"/>
        <v>0.67520713106094543</v>
      </c>
      <c r="P34" s="45"/>
      <c r="Q34" s="45"/>
      <c r="R34" s="45">
        <f t="shared" si="4"/>
        <v>0.39981325942807838</v>
      </c>
      <c r="T34" s="20"/>
      <c r="U34" s="21"/>
    </row>
    <row r="35" spans="2:21" ht="15.95" customHeight="1">
      <c r="B35" s="35" t="s">
        <v>36</v>
      </c>
      <c r="C35" s="36"/>
      <c r="D35" s="46"/>
      <c r="E35" s="37"/>
      <c r="F35" s="37"/>
      <c r="G35" s="37">
        <f>D34+E34+F34+G34</f>
        <v>2546880.81495</v>
      </c>
      <c r="H35" s="46"/>
      <c r="I35" s="37"/>
      <c r="J35" s="37"/>
      <c r="K35" s="37"/>
      <c r="L35" s="37"/>
      <c r="M35" s="37"/>
      <c r="N35" s="38"/>
      <c r="O35" s="38"/>
      <c r="P35" s="38"/>
      <c r="Q35" s="38"/>
      <c r="R35" s="38"/>
      <c r="T35" s="20"/>
      <c r="U35" s="21"/>
    </row>
    <row r="36" spans="2:21" ht="15.95" customHeight="1">
      <c r="D36" s="47"/>
      <c r="E36" s="47"/>
    </row>
    <row r="37" spans="2:21" ht="15.95" customHeight="1">
      <c r="B37" s="48"/>
      <c r="M37" s="49"/>
    </row>
    <row r="38" spans="2:21" ht="15.95" customHeight="1">
      <c r="G38" s="49"/>
      <c r="L38" s="50"/>
      <c r="M38" s="49"/>
    </row>
    <row r="39" spans="2:21" ht="15.95" customHeight="1">
      <c r="D39" s="49"/>
      <c r="L39" s="50"/>
      <c r="M39" s="49"/>
    </row>
    <row r="40" spans="2:21" ht="15.95" customHeight="1">
      <c r="L40" s="50"/>
      <c r="M40" s="49"/>
    </row>
    <row r="42" spans="2:21" ht="15.95" customHeight="1">
      <c r="D42" s="49"/>
    </row>
    <row r="44" spans="2:21" ht="15.95" customHeight="1">
      <c r="D44" s="49"/>
    </row>
    <row r="45" spans="2:21" ht="15.95" customHeight="1">
      <c r="D45" s="49"/>
    </row>
    <row r="46" spans="2:21" ht="15.95" customHeight="1">
      <c r="D46" s="49"/>
    </row>
  </sheetData>
  <autoFilter ref="A3:O35" xr:uid="{30D263DF-C9AA-E144-A1C0-5C5F1D37A725}"/>
  <mergeCells count="1">
    <mergeCell ref="D1:O1"/>
  </mergeCells>
  <conditionalFormatting sqref="D17:K25">
    <cfRule type="cellIs" dxfId="10" priority="9" operator="lessThan">
      <formula>0</formula>
    </cfRule>
  </conditionalFormatting>
  <conditionalFormatting sqref="D27:K27">
    <cfRule type="cellIs" dxfId="9" priority="7" operator="lessThan">
      <formula>0</formula>
    </cfRule>
  </conditionalFormatting>
  <conditionalFormatting sqref="D29:K29">
    <cfRule type="cellIs" dxfId="8" priority="4" operator="lessThan">
      <formula>0</formula>
    </cfRule>
  </conditionalFormatting>
  <conditionalFormatting sqref="D31:K31">
    <cfRule type="cellIs" dxfId="7" priority="41" operator="lessThan">
      <formula>0</formula>
    </cfRule>
  </conditionalFormatting>
  <conditionalFormatting sqref="M4:M25">
    <cfRule type="cellIs" dxfId="6" priority="8" operator="lessThan">
      <formula>-1</formula>
    </cfRule>
  </conditionalFormatting>
  <conditionalFormatting sqref="M27:M34">
    <cfRule type="cellIs" dxfId="5" priority="2" operator="lessThan">
      <formula>-1</formula>
    </cfRule>
  </conditionalFormatting>
  <conditionalFormatting sqref="N32:O34">
    <cfRule type="cellIs" dxfId="4" priority="1" operator="lessThan">
      <formula>-1</formula>
    </cfRule>
  </conditionalFormatting>
  <conditionalFormatting sqref="N17:R25">
    <cfRule type="cellIs" dxfId="3" priority="10" operator="lessThan">
      <formula>0</formula>
    </cfRule>
  </conditionalFormatting>
  <conditionalFormatting sqref="N27:R27">
    <cfRule type="cellIs" dxfId="2" priority="6" operator="lessThan">
      <formula>0</formula>
    </cfRule>
  </conditionalFormatting>
  <conditionalFormatting sqref="N29:R29">
    <cfRule type="cellIs" dxfId="1" priority="3" operator="lessThan">
      <formula>0</formula>
    </cfRule>
  </conditionalFormatting>
  <conditionalFormatting sqref="N31:R31">
    <cfRule type="cellIs" dxfId="0" priority="39" operator="lessThan">
      <formula>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2</vt:i4>
      </vt:variant>
    </vt:vector>
  </HeadingPairs>
  <TitlesOfParts>
    <vt:vector size="2" baseType="lpstr">
      <vt:lpstr>LISA 4</vt:lpstr>
      <vt:lpstr>LISA 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Kirsika Nahkur</dc:creator>
  <cp:lastModifiedBy>Kirsika Nahkur</cp:lastModifiedBy>
  <dcterms:created xsi:type="dcterms:W3CDTF">2025-04-16T11:22:58Z</dcterms:created>
  <dcterms:modified xsi:type="dcterms:W3CDTF">2025-07-15T11:07:44Z</dcterms:modified>
</cp:coreProperties>
</file>